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3015" yWindow="-105" windowWidth="25440" windowHeight="15990"/>
  </bookViews>
  <sheets>
    <sheet name="zaměstnanec" sheetId="6" r:id="rId1"/>
    <sheet name="OSVČ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1" l="1"/>
  <c r="M17" i="1"/>
  <c r="L17" i="1"/>
  <c r="J17" i="1"/>
  <c r="J15" i="1"/>
  <c r="J14" i="1"/>
  <c r="J13" i="1"/>
  <c r="J8" i="1"/>
  <c r="J7" i="1"/>
  <c r="J6" i="1"/>
  <c r="M6" i="1"/>
  <c r="L6" i="1"/>
  <c r="K6" i="1"/>
  <c r="M34" i="1"/>
  <c r="M35" i="1" s="1"/>
  <c r="M29" i="1"/>
  <c r="L29" i="1"/>
  <c r="K29" i="1"/>
  <c r="J29" i="1"/>
  <c r="M26" i="1"/>
  <c r="L26" i="1"/>
  <c r="K26" i="1"/>
  <c r="J26" i="1"/>
  <c r="M23" i="1"/>
  <c r="L23" i="1"/>
  <c r="K23" i="1"/>
  <c r="J23" i="1"/>
  <c r="L20" i="1"/>
  <c r="J20" i="1"/>
  <c r="L19" i="1"/>
  <c r="J19" i="1"/>
  <c r="M18" i="1"/>
  <c r="L18" i="1"/>
  <c r="K18" i="1"/>
  <c r="J18" i="1"/>
  <c r="M14" i="1"/>
  <c r="L14" i="1"/>
  <c r="K14" i="1"/>
  <c r="M12" i="1"/>
  <c r="K12" i="1"/>
  <c r="M4" i="1"/>
  <c r="L4" i="1"/>
  <c r="K4" i="1"/>
  <c r="J4" i="1"/>
  <c r="H7" i="1"/>
  <c r="H6" i="1"/>
  <c r="F6" i="1"/>
  <c r="G6" i="1"/>
  <c r="B18" i="1"/>
  <c r="B49" i="1"/>
  <c r="B50" i="1"/>
  <c r="B51" i="1"/>
  <c r="B26" i="1"/>
  <c r="C26" i="1"/>
  <c r="C18" i="1"/>
  <c r="C17" i="1"/>
  <c r="H26" i="1"/>
  <c r="F26" i="1"/>
  <c r="D26" i="1"/>
  <c r="B25" i="1"/>
  <c r="I12" i="1"/>
  <c r="G12" i="1"/>
  <c r="E12" i="1"/>
  <c r="H20" i="1"/>
  <c r="H19" i="1"/>
  <c r="H18" i="1"/>
  <c r="F20" i="1"/>
  <c r="F19" i="1"/>
  <c r="F18" i="1"/>
  <c r="D20" i="1"/>
  <c r="D19" i="1"/>
  <c r="D18" i="1"/>
  <c r="B20" i="1"/>
  <c r="B19" i="1"/>
  <c r="A43" i="1"/>
  <c r="A44" i="6"/>
  <c r="H22" i="6"/>
  <c r="H7" i="6"/>
  <c r="F22" i="6"/>
  <c r="G22" i="6"/>
  <c r="G23" i="6"/>
  <c r="G21" i="6"/>
  <c r="G17" i="6"/>
  <c r="G13" i="6"/>
  <c r="G14" i="6"/>
  <c r="G15" i="6"/>
  <c r="K11" i="6"/>
  <c r="G11" i="6"/>
  <c r="E17" i="6"/>
  <c r="E15" i="6"/>
  <c r="E14" i="6"/>
  <c r="E13" i="6"/>
  <c r="E8" i="6"/>
  <c r="E7" i="6"/>
  <c r="D15" i="6"/>
  <c r="D14" i="6"/>
  <c r="D13" i="6"/>
  <c r="D8" i="6"/>
  <c r="D7" i="6"/>
  <c r="B6" i="6"/>
  <c r="H4" i="6"/>
  <c r="H17" i="6" s="1"/>
  <c r="H21" i="6" s="1"/>
  <c r="E18" i="1"/>
  <c r="E29" i="1"/>
  <c r="E26" i="1"/>
  <c r="C4" i="1"/>
  <c r="K14" i="6"/>
  <c r="J14" i="6"/>
  <c r="F14" i="6"/>
  <c r="K6" i="6"/>
  <c r="J6" i="6"/>
  <c r="G6" i="6"/>
  <c r="F6" i="6"/>
  <c r="E6" i="6"/>
  <c r="D6" i="6"/>
  <c r="K4" i="6"/>
  <c r="K17" i="6" s="1"/>
  <c r="K21" i="6" s="1"/>
  <c r="K22" i="6" s="1"/>
  <c r="J4" i="6"/>
  <c r="J17" i="6" s="1"/>
  <c r="J25" i="6" s="1"/>
  <c r="G4" i="6"/>
  <c r="F4" i="6"/>
  <c r="F17" i="6" s="1"/>
  <c r="F21" i="6" s="1"/>
  <c r="E4" i="6"/>
  <c r="E25" i="6" s="1"/>
  <c r="E27" i="6" s="1"/>
  <c r="D4" i="6"/>
  <c r="D17" i="6" s="1"/>
  <c r="D21" i="6" s="1"/>
  <c r="B44" i="6"/>
  <c r="I6" i="6"/>
  <c r="H6" i="6"/>
  <c r="C6" i="6"/>
  <c r="I4" i="6"/>
  <c r="I17" i="6" s="1"/>
  <c r="I21" i="6" s="1"/>
  <c r="C4" i="6"/>
  <c r="C17" i="6" s="1"/>
  <c r="C25" i="6" s="1"/>
  <c r="B4" i="6"/>
  <c r="I29" i="1"/>
  <c r="I26" i="1"/>
  <c r="I23" i="1"/>
  <c r="I18" i="1"/>
  <c r="I14" i="1"/>
  <c r="I4" i="1"/>
  <c r="G29" i="1"/>
  <c r="G26" i="1"/>
  <c r="G23" i="1"/>
  <c r="G18" i="1"/>
  <c r="G14" i="1"/>
  <c r="G4" i="1"/>
  <c r="E23" i="1"/>
  <c r="E14" i="1"/>
  <c r="E4" i="1"/>
  <c r="E6" i="1" s="1"/>
  <c r="E7" i="1" s="1"/>
  <c r="E17" i="1" s="1"/>
  <c r="C29" i="1"/>
  <c r="C23" i="1"/>
  <c r="B43" i="1"/>
  <c r="J25" i="1" l="1"/>
  <c r="J27" i="1" s="1"/>
  <c r="J28" i="1" s="1"/>
  <c r="L7" i="1"/>
  <c r="J34" i="1"/>
  <c r="J35" i="1" s="1"/>
  <c r="M7" i="1"/>
  <c r="K34" i="1"/>
  <c r="K35" i="1" s="1"/>
  <c r="L34" i="1"/>
  <c r="L35" i="1" s="1"/>
  <c r="K7" i="1"/>
  <c r="E25" i="1"/>
  <c r="E27" i="1" s="1"/>
  <c r="E28" i="1" s="1"/>
  <c r="I22" i="6"/>
  <c r="I23" i="6"/>
  <c r="B7" i="6"/>
  <c r="B8" i="6" s="1"/>
  <c r="B13" i="6" s="1"/>
  <c r="B15" i="6" s="1"/>
  <c r="B17" i="6"/>
  <c r="G7" i="6"/>
  <c r="G8" i="6" s="1"/>
  <c r="H23" i="6"/>
  <c r="H8" i="6"/>
  <c r="H13" i="6" s="1"/>
  <c r="H15" i="6" s="1"/>
  <c r="E8" i="1"/>
  <c r="E13" i="1" s="1"/>
  <c r="E21" i="1"/>
  <c r="E22" i="1" s="1"/>
  <c r="C34" i="1"/>
  <c r="C35" i="1" s="1"/>
  <c r="C6" i="1"/>
  <c r="D22" i="6"/>
  <c r="D23" i="6"/>
  <c r="J7" i="6"/>
  <c r="J8" i="6" s="1"/>
  <c r="J13" i="6" s="1"/>
  <c r="J15" i="6" s="1"/>
  <c r="F7" i="6"/>
  <c r="J27" i="6"/>
  <c r="J28" i="6" s="1"/>
  <c r="K7" i="6"/>
  <c r="K8" i="6" s="1"/>
  <c r="K13" i="6" s="1"/>
  <c r="K15" i="6" s="1"/>
  <c r="C27" i="6"/>
  <c r="C29" i="6" s="1"/>
  <c r="E29" i="6"/>
  <c r="E28" i="6"/>
  <c r="K23" i="6"/>
  <c r="F23" i="6"/>
  <c r="D25" i="6"/>
  <c r="D27" i="6" s="1"/>
  <c r="F25" i="6"/>
  <c r="F27" i="6" s="1"/>
  <c r="K25" i="6"/>
  <c r="K27" i="6" s="1"/>
  <c r="K28" i="6" s="1"/>
  <c r="J21" i="6"/>
  <c r="E21" i="6"/>
  <c r="I7" i="6"/>
  <c r="I8" i="6" s="1"/>
  <c r="I13" i="6" s="1"/>
  <c r="I15" i="6" s="1"/>
  <c r="C7" i="6"/>
  <c r="C8" i="6" s="1"/>
  <c r="C13" i="6" s="1"/>
  <c r="C15" i="6" s="1"/>
  <c r="I25" i="6"/>
  <c r="I27" i="6" s="1"/>
  <c r="I28" i="6" s="1"/>
  <c r="H25" i="6"/>
  <c r="H27" i="6" s="1"/>
  <c r="H28" i="6" s="1"/>
  <c r="C21" i="6"/>
  <c r="C22" i="6" s="1"/>
  <c r="G7" i="1"/>
  <c r="I6" i="1"/>
  <c r="I7" i="1" s="1"/>
  <c r="I34" i="1"/>
  <c r="I35" i="1" s="1"/>
  <c r="G34" i="1"/>
  <c r="G35" i="1" s="1"/>
  <c r="E34" i="1"/>
  <c r="E35" i="1" s="1"/>
  <c r="J21" i="1" l="1"/>
  <c r="J22" i="1" s="1"/>
  <c r="J31" i="1" s="1"/>
  <c r="J32" i="1" s="1"/>
  <c r="J37" i="1"/>
  <c r="J38" i="1" s="1"/>
  <c r="M25" i="1"/>
  <c r="M27" i="1" s="1"/>
  <c r="M28" i="1" s="1"/>
  <c r="M21" i="1"/>
  <c r="M22" i="1" s="1"/>
  <c r="M8" i="1"/>
  <c r="M13" i="1" s="1"/>
  <c r="M15" i="1" s="1"/>
  <c r="K8" i="1"/>
  <c r="K13" i="1" s="1"/>
  <c r="K15" i="1" s="1"/>
  <c r="K25" i="1"/>
  <c r="K27" i="1" s="1"/>
  <c r="K28" i="1" s="1"/>
  <c r="K21" i="1"/>
  <c r="K22" i="1" s="1"/>
  <c r="L25" i="1"/>
  <c r="L27" i="1" s="1"/>
  <c r="L28" i="1" s="1"/>
  <c r="L8" i="1"/>
  <c r="L13" i="1" s="1"/>
  <c r="L15" i="1" s="1"/>
  <c r="L21" i="1"/>
  <c r="L22" i="1" s="1"/>
  <c r="I8" i="1"/>
  <c r="I13" i="1" s="1"/>
  <c r="I15" i="1" s="1"/>
  <c r="I25" i="1"/>
  <c r="I27" i="1" s="1"/>
  <c r="I28" i="1" s="1"/>
  <c r="I17" i="1"/>
  <c r="I21" i="1" s="1"/>
  <c r="I22" i="1" s="1"/>
  <c r="G8" i="1"/>
  <c r="G25" i="1"/>
  <c r="G27" i="1" s="1"/>
  <c r="G28" i="1" s="1"/>
  <c r="G17" i="1"/>
  <c r="G21" i="1" s="1"/>
  <c r="G22" i="1" s="1"/>
  <c r="I37" i="6"/>
  <c r="I31" i="6"/>
  <c r="I32" i="6" s="1"/>
  <c r="H37" i="6"/>
  <c r="H31" i="6"/>
  <c r="H32" i="6" s="1"/>
  <c r="B25" i="6"/>
  <c r="B27" i="6" s="1"/>
  <c r="B21" i="6"/>
  <c r="J29" i="6"/>
  <c r="K31" i="6"/>
  <c r="K32" i="6" s="1"/>
  <c r="H29" i="6"/>
  <c r="G25" i="6"/>
  <c r="G27" i="6" s="1"/>
  <c r="F8" i="6"/>
  <c r="F13" i="6" s="1"/>
  <c r="F15" i="6" s="1"/>
  <c r="J22" i="6"/>
  <c r="J31" i="6" s="1"/>
  <c r="J32" i="6" s="1"/>
  <c r="J23" i="6"/>
  <c r="C7" i="1"/>
  <c r="C25" i="1" s="1"/>
  <c r="C27" i="1" s="1"/>
  <c r="C28" i="1" s="1"/>
  <c r="E22" i="6"/>
  <c r="E23" i="6"/>
  <c r="E34" i="6" s="1"/>
  <c r="E35" i="6" s="1"/>
  <c r="C28" i="6"/>
  <c r="F29" i="6"/>
  <c r="F34" i="6" s="1"/>
  <c r="F35" i="6" s="1"/>
  <c r="F28" i="6"/>
  <c r="K29" i="6"/>
  <c r="K34" i="6" s="1"/>
  <c r="K35" i="6" s="1"/>
  <c r="K37" i="6"/>
  <c r="K38" i="6" s="1"/>
  <c r="D29" i="6"/>
  <c r="D34" i="6" s="1"/>
  <c r="D35" i="6" s="1"/>
  <c r="D28" i="6"/>
  <c r="D31" i="6" s="1"/>
  <c r="D32" i="6" s="1"/>
  <c r="I29" i="6"/>
  <c r="I34" i="6" s="1"/>
  <c r="I35" i="6" s="1"/>
  <c r="C23" i="6"/>
  <c r="C34" i="6" s="1"/>
  <c r="C35" i="6" s="1"/>
  <c r="E15" i="1"/>
  <c r="E31" i="1" s="1"/>
  <c r="L37" i="1" l="1"/>
  <c r="L31" i="1"/>
  <c r="L32" i="1" s="1"/>
  <c r="K37" i="1"/>
  <c r="K31" i="1"/>
  <c r="K32" i="1" s="1"/>
  <c r="M37" i="1"/>
  <c r="M38" i="1" s="1"/>
  <c r="M31" i="1"/>
  <c r="M32" i="1" s="1"/>
  <c r="I37" i="1"/>
  <c r="I38" i="1" s="1"/>
  <c r="G13" i="1"/>
  <c r="G15" i="1" s="1"/>
  <c r="H34" i="6"/>
  <c r="H35" i="6" s="1"/>
  <c r="B28" i="6"/>
  <c r="B29" i="6"/>
  <c r="B22" i="6"/>
  <c r="B23" i="6"/>
  <c r="B34" i="6" s="1"/>
  <c r="B35" i="6" s="1"/>
  <c r="J34" i="6"/>
  <c r="J35" i="6" s="1"/>
  <c r="G29" i="6"/>
  <c r="G34" i="6" s="1"/>
  <c r="G35" i="6" s="1"/>
  <c r="G28" i="6"/>
  <c r="F37" i="6"/>
  <c r="I38" i="6"/>
  <c r="C8" i="1"/>
  <c r="C13" i="1" s="1"/>
  <c r="C15" i="1" s="1"/>
  <c r="C21" i="1"/>
  <c r="C22" i="1" s="1"/>
  <c r="I31" i="1"/>
  <c r="I32" i="1" s="1"/>
  <c r="J37" i="6"/>
  <c r="E37" i="6"/>
  <c r="E38" i="6" s="1"/>
  <c r="E31" i="6"/>
  <c r="E32" i="6" s="1"/>
  <c r="F31" i="6"/>
  <c r="F32" i="6" s="1"/>
  <c r="D37" i="6"/>
  <c r="C31" i="6"/>
  <c r="C32" i="6" s="1"/>
  <c r="C37" i="6"/>
  <c r="E37" i="1"/>
  <c r="E38" i="1" s="1"/>
  <c r="E32" i="1"/>
  <c r="L40" i="1" l="1"/>
  <c r="L38" i="1"/>
  <c r="L39" i="1" s="1"/>
  <c r="K38" i="1"/>
  <c r="J39" i="1" s="1"/>
  <c r="J40" i="1"/>
  <c r="G31" i="1"/>
  <c r="G32" i="1" s="1"/>
  <c r="G37" i="1"/>
  <c r="G38" i="1" s="1"/>
  <c r="C37" i="1"/>
  <c r="C38" i="1" s="1"/>
  <c r="B31" i="6"/>
  <c r="B32" i="6" s="1"/>
  <c r="B37" i="6"/>
  <c r="C38" i="6"/>
  <c r="B40" i="6"/>
  <c r="C50" i="6" s="1"/>
  <c r="H38" i="6"/>
  <c r="H39" i="6" s="1"/>
  <c r="H40" i="6"/>
  <c r="D38" i="6"/>
  <c r="D39" i="6" s="1"/>
  <c r="D40" i="6"/>
  <c r="J38" i="6"/>
  <c r="J39" i="6" s="1"/>
  <c r="J40" i="6"/>
  <c r="B38" i="6"/>
  <c r="B39" i="6" s="1"/>
  <c r="F38" i="6"/>
  <c r="F40" i="6"/>
  <c r="G31" i="6"/>
  <c r="G32" i="6" s="1"/>
  <c r="G37" i="6"/>
  <c r="G38" i="6" s="1"/>
  <c r="C31" i="1"/>
  <c r="C32" i="1" s="1"/>
  <c r="B29" i="1"/>
  <c r="B23" i="1"/>
  <c r="B4" i="1"/>
  <c r="B6" i="1" s="1"/>
  <c r="H29" i="1"/>
  <c r="H23" i="1"/>
  <c r="H14" i="1"/>
  <c r="H4" i="1"/>
  <c r="F29" i="1"/>
  <c r="F23" i="1"/>
  <c r="F14" i="1"/>
  <c r="F4" i="1"/>
  <c r="D29" i="1"/>
  <c r="D23" i="1"/>
  <c r="D14" i="1"/>
  <c r="D4" i="1"/>
  <c r="F39" i="6" l="1"/>
  <c r="B7" i="1"/>
  <c r="B34" i="1"/>
  <c r="B35" i="1" s="1"/>
  <c r="H34" i="1"/>
  <c r="H35" i="1" s="1"/>
  <c r="D34" i="1"/>
  <c r="D35" i="1" s="1"/>
  <c r="D6" i="1"/>
  <c r="D7" i="1" s="1"/>
  <c r="D25" i="1" s="1"/>
  <c r="F7" i="1"/>
  <c r="F34" i="1"/>
  <c r="F35" i="1" s="1"/>
  <c r="B17" i="1" l="1"/>
  <c r="H17" i="1"/>
  <c r="H21" i="1" s="1"/>
  <c r="H22" i="1" s="1"/>
  <c r="H8" i="1"/>
  <c r="H25" i="1"/>
  <c r="H27" i="1" s="1"/>
  <c r="H28" i="1" s="1"/>
  <c r="F25" i="1"/>
  <c r="F27" i="1" s="1"/>
  <c r="F28" i="1" s="1"/>
  <c r="F17" i="1"/>
  <c r="F21" i="1" s="1"/>
  <c r="F22" i="1" s="1"/>
  <c r="B27" i="1"/>
  <c r="B28" i="1" s="1"/>
  <c r="B21" i="1"/>
  <c r="B22" i="1" s="1"/>
  <c r="B8" i="1"/>
  <c r="D27" i="1"/>
  <c r="D28" i="1" s="1"/>
  <c r="D17" i="1"/>
  <c r="D21" i="1" s="1"/>
  <c r="D22" i="1" s="1"/>
  <c r="D8" i="1"/>
  <c r="D13" i="1" s="1"/>
  <c r="F8" i="1"/>
  <c r="B37" i="1" l="1"/>
  <c r="B13" i="1"/>
  <c r="B15" i="1" s="1"/>
  <c r="D15" i="1"/>
  <c r="H13" i="1"/>
  <c r="H15" i="1" s="1"/>
  <c r="F13" i="1"/>
  <c r="F15" i="1" s="1"/>
  <c r="B38" i="1" l="1"/>
  <c r="B39" i="1" s="1"/>
  <c r="B40" i="1"/>
  <c r="F37" i="1"/>
  <c r="F31" i="1"/>
  <c r="F32" i="1" s="1"/>
  <c r="H37" i="1"/>
  <c r="H31" i="1"/>
  <c r="H32" i="1" s="1"/>
  <c r="D37" i="1"/>
  <c r="D31" i="1"/>
  <c r="D32" i="1" s="1"/>
  <c r="B31" i="1"/>
  <c r="B32" i="1" s="1"/>
  <c r="H38" i="1" l="1"/>
  <c r="H39" i="1" s="1"/>
  <c r="H40" i="1"/>
  <c r="D38" i="1"/>
  <c r="D39" i="1" s="1"/>
  <c r="D40" i="1"/>
  <c r="F38" i="1"/>
  <c r="F39" i="1" s="1"/>
  <c r="F40" i="1"/>
</calcChain>
</file>

<file path=xl/sharedStrings.xml><?xml version="1.0" encoding="utf-8"?>
<sst xmlns="http://schemas.openxmlformats.org/spreadsheetml/2006/main" count="193" uniqueCount="63">
  <si>
    <t>Měsíční mzda / měsíční fakturace</t>
  </si>
  <si>
    <t>Základ daně</t>
  </si>
  <si>
    <t>Výdaje</t>
  </si>
  <si>
    <t>Daň před slevami</t>
  </si>
  <si>
    <t>Daň z příjmů fyzických osob</t>
  </si>
  <si>
    <t>Sociální pojistné</t>
  </si>
  <si>
    <t>Vyměřovací základ skutečný</t>
  </si>
  <si>
    <t>Vyměřovací základ minimální</t>
  </si>
  <si>
    <t>Vyměřovací základ</t>
  </si>
  <si>
    <t>Pojistné - fyzická osoba</t>
  </si>
  <si>
    <t>Pojistné - zaměstnavatel / odběratel služby</t>
  </si>
  <si>
    <t>Zdravotní pojištění</t>
  </si>
  <si>
    <t>Čistá odměna</t>
  </si>
  <si>
    <t>Náklad zaměstnavatele / náklad odběratele služby</t>
  </si>
  <si>
    <t>Čistá odměna fyzické osoby</t>
  </si>
  <si>
    <t>Sleva na dani - poplatník</t>
  </si>
  <si>
    <t>Sleva na dani - vyživované děti</t>
  </si>
  <si>
    <t>Roční mzda / fakturace</t>
  </si>
  <si>
    <t>Celkové odvody fyzické osoby</t>
  </si>
  <si>
    <t>Výsledná daňová povinnost (+) / daňový bonus (-)</t>
  </si>
  <si>
    <t>-</t>
  </si>
  <si>
    <t>Náklad zaměstnavatele / náklad odběratele služby v % vůči hrubé odměně</t>
  </si>
  <si>
    <t>Čistá odměna fyzické osoby v % vůči hrubé odměně</t>
  </si>
  <si>
    <t>Celkové odvody fyzické osoby v % vůči hrubé odměně</t>
  </si>
  <si>
    <t>36 NÁSOBEK PM</t>
  </si>
  <si>
    <t>Mezivýpočet</t>
  </si>
  <si>
    <t>Vyměřovací základ minimální (2024)</t>
  </si>
  <si>
    <t>Vyměřovací základ minimální (2025)</t>
  </si>
  <si>
    <t>Vyměřovací základ minimální (2026)</t>
  </si>
  <si>
    <t>Sleva na dani - manžel/ka</t>
  </si>
  <si>
    <t>Sleva na dani - student</t>
  </si>
  <si>
    <t>48 NÁSOBEK PM</t>
  </si>
  <si>
    <t>Zaměstnanec - student</t>
  </si>
  <si>
    <t>Zaměstnanec bezdětný</t>
  </si>
  <si>
    <t>sleva na studenta</t>
  </si>
  <si>
    <t>odvod nemocenské 0,6 %</t>
  </si>
  <si>
    <t>sazba daně 23 % od 36x</t>
  </si>
  <si>
    <t>sazba daně 15 %</t>
  </si>
  <si>
    <t>Zaměstnanec - 2 děti starší 3 let</t>
  </si>
  <si>
    <t>sleva na manžela</t>
  </si>
  <si>
    <t>Sleva na dani - školkovné</t>
  </si>
  <si>
    <t>školkovné</t>
  </si>
  <si>
    <t>Přehled rozdílů</t>
  </si>
  <si>
    <t>sleva na školkovné</t>
  </si>
  <si>
    <t>OSVČ - paušální výdaje 60 %, bezdětný</t>
  </si>
  <si>
    <t>Školkovné</t>
  </si>
  <si>
    <t>SZ - minimální VZ 30 % průměrné mzdy</t>
  </si>
  <si>
    <t>SZ - VZ 55 % ZD</t>
  </si>
  <si>
    <t>SZ - VZ 50 % ZD</t>
  </si>
  <si>
    <t>Meziroční rozdíl - %</t>
  </si>
  <si>
    <t>Meziroční rozdíl - absolutní (za rok)</t>
  </si>
  <si>
    <t>Změny zohledněné v kalkulaci:</t>
  </si>
  <si>
    <t>Zavedení odvodu nemocenského pojištění zaměstnanců (0,6 %)</t>
  </si>
  <si>
    <t>Zrušení slevy na studenta (4 020 Kč ročně)</t>
  </si>
  <si>
    <t>Omezení slevy na manžela v tom smyslu, že kromě hranice příjmů 68 000 Kč ročně druhého z manželů se přidává další podmínka, a to že poplatník žije ve společně hospodařící domácnosti s dítětem mladším 3 let</t>
  </si>
  <si>
    <t>Zrušení slevy za umístění dítěte (tzv. školkovné)</t>
  </si>
  <si>
    <t>Snížení hranice pro vyšší sazbu daně z 48násobků průměrné mzdy na 36násobek průměrné mzdy</t>
  </si>
  <si>
    <t>Zaměstnanec - 2 děti starší 3 let, mladší 6 let</t>
  </si>
  <si>
    <t>OSVČ - paušální výdaje 60 %, 2 děti starší 3 let a mladší 6 let</t>
  </si>
  <si>
    <t>Zvýšení minimálního vyměřovacího základu pro OSVČ (sociální pojistné)</t>
  </si>
  <si>
    <t>Snížení hranice pro vyšší sazbu daně z 48násobků průměrné mzdy na 36násobek průměrné mzdy; u OSVČ se aplikuje na daňový základ (tj. po snížení výdajů)</t>
  </si>
  <si>
    <t>Zvýšení skutečného vyměřovacího základu pro OSVČ (sociální pojistné)</t>
  </si>
  <si>
    <r>
      <t xml:space="preserve">OSVČ - paušální výdaje </t>
    </r>
    <r>
      <rPr>
        <b/>
        <sz val="10"/>
        <color rgb="FFFF0000"/>
        <rFont val="Trebuchet MS"/>
        <family val="2"/>
        <charset val="238"/>
      </rPr>
      <t>40</t>
    </r>
    <r>
      <rPr>
        <b/>
        <sz val="10"/>
        <color theme="0"/>
        <rFont val="Trebuchet MS"/>
        <family val="2"/>
        <charset val="238"/>
      </rPr>
      <t xml:space="preserve"> %, 2 děti starší 3 let a mladší 6 let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</si>
</sst>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_-* #,##0.00_-;\-* #,##0.00_-;_-* &quot;-&quot;??_-;_-@_-"/>
    <numFmt numFmtId="165" formatCode="_-* #,##0.00\ [$Kč-405]_-;\-* #,##0.00\ [$Kč-405]_-;_-* &quot;-&quot;??\ [$Kč-405]_-;_-@_-"/>
    <numFmt numFmtId="166" formatCode="_-* #,##0.0000\ _K_č_-;\-* #,##0.0000\ _K_č_-;_-* &quot;-&quot;??\ _K_č_-;_-@_-"/>
  </numFmts>
  <fonts count="14" x14ac:knownFonts="1">
    <font>
      <sz val="10"/>
      <color theme="1"/>
      <name val="Arial"/>
      <family val="2"/>
    </font>
    <font>
      <sz val="10"/>
      <color theme="1"/>
      <name val="Trebuchet MS"/>
      <family val="2"/>
    </font>
    <font>
      <sz val="10"/>
      <color theme="1"/>
      <name val="Arial"/>
      <family val="2"/>
    </font>
    <font>
      <sz val="10"/>
      <color theme="0"/>
      <name val="Trebuchet MS"/>
      <family val="2"/>
    </font>
    <font>
      <b/>
      <sz val="10"/>
      <color theme="1"/>
      <name val="Trebuchet MS"/>
      <family val="2"/>
      <charset val="238"/>
    </font>
    <font>
      <b/>
      <sz val="10"/>
      <color theme="0"/>
      <name val="Trebuchet MS"/>
      <family val="2"/>
      <charset val="238"/>
    </font>
    <font>
      <sz val="10"/>
      <color theme="0" tint="-0.499984740745262"/>
      <name val="Trebuchet MS"/>
      <family val="2"/>
    </font>
    <font>
      <i/>
      <sz val="10"/>
      <color theme="0" tint="-0.499984740745262"/>
      <name val="Trebuchet MS"/>
      <family val="2"/>
      <charset val="238"/>
    </font>
    <font>
      <i/>
      <sz val="10"/>
      <color theme="1"/>
      <name val="Trebuchet MS"/>
      <family val="2"/>
      <charset val="238"/>
    </font>
    <font>
      <b/>
      <sz val="14"/>
      <color rgb="FFFF0000"/>
      <name val="Trebuchet MS"/>
      <family val="2"/>
      <charset val="238"/>
    </font>
    <font>
      <sz val="10"/>
      <color theme="1"/>
      <name val="Trebuchet MS"/>
      <family val="2"/>
      <charset val="238"/>
    </font>
    <font>
      <b/>
      <u/>
      <sz val="10"/>
      <color theme="1"/>
      <name val="Trebuchet MS"/>
      <family val="2"/>
      <charset val="238"/>
    </font>
    <font>
      <sz val="10"/>
      <color theme="1" tint="0.59999389629810485"/>
      <name val="Trebuchet MS"/>
      <family val="2"/>
    </font>
    <font>
      <b/>
      <sz val="10"/>
      <color rgb="FFFF0000"/>
      <name val="Trebuchet MS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10" fontId="1" fillId="0" borderId="0" xfId="0" applyNumberFormat="1" applyFont="1"/>
    <xf numFmtId="165" fontId="6" fillId="0" borderId="0" xfId="0" applyNumberFormat="1" applyFont="1"/>
    <xf numFmtId="0" fontId="6" fillId="0" borderId="0" xfId="0" applyFont="1" applyAlignment="1">
      <alignment horizontal="right"/>
    </xf>
    <xf numFmtId="0" fontId="9" fillId="5" borderId="1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165" fontId="4" fillId="0" borderId="5" xfId="1" applyNumberFormat="1" applyFont="1" applyBorder="1"/>
    <xf numFmtId="165" fontId="4" fillId="0" borderId="6" xfId="1" applyNumberFormat="1" applyFont="1" applyBorder="1"/>
    <xf numFmtId="165" fontId="4" fillId="0" borderId="7" xfId="1" applyNumberFormat="1" applyFont="1" applyBorder="1"/>
    <xf numFmtId="165" fontId="4" fillId="0" borderId="8" xfId="1" applyNumberFormat="1" applyFont="1" applyBorder="1"/>
    <xf numFmtId="0" fontId="3" fillId="4" borderId="7" xfId="0" applyFont="1" applyFill="1" applyBorder="1"/>
    <xf numFmtId="0" fontId="3" fillId="4" borderId="8" xfId="0" applyFont="1" applyFill="1" applyBorder="1"/>
    <xf numFmtId="165" fontId="1" fillId="0" borderId="5" xfId="0" applyNumberFormat="1" applyFont="1" applyBorder="1"/>
    <xf numFmtId="165" fontId="1" fillId="0" borderId="6" xfId="0" applyNumberFormat="1" applyFont="1" applyBorder="1"/>
    <xf numFmtId="165" fontId="7" fillId="0" borderId="5" xfId="0" applyNumberFormat="1" applyFont="1" applyBorder="1"/>
    <xf numFmtId="165" fontId="7" fillId="0" borderId="6" xfId="0" applyNumberFormat="1" applyFont="1" applyBorder="1"/>
    <xf numFmtId="165" fontId="8" fillId="0" borderId="5" xfId="0" applyNumberFormat="1" applyFont="1" applyBorder="1"/>
    <xf numFmtId="165" fontId="8" fillId="0" borderId="6" xfId="0" applyNumberFormat="1" applyFont="1" applyBorder="1"/>
    <xf numFmtId="165" fontId="1" fillId="3" borderId="5" xfId="0" applyNumberFormat="1" applyFont="1" applyFill="1" applyBorder="1" applyAlignment="1">
      <alignment vertical="center"/>
    </xf>
    <xf numFmtId="165" fontId="1" fillId="3" borderId="6" xfId="0" applyNumberFormat="1" applyFont="1" applyFill="1" applyBorder="1" applyAlignment="1">
      <alignment vertical="center"/>
    </xf>
    <xf numFmtId="165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165" fontId="1" fillId="3" borderId="5" xfId="0" applyNumberFormat="1" applyFont="1" applyFill="1" applyBorder="1"/>
    <xf numFmtId="165" fontId="1" fillId="3" borderId="6" xfId="0" applyNumberFormat="1" applyFont="1" applyFill="1" applyBorder="1"/>
    <xf numFmtId="10" fontId="1" fillId="0" borderId="5" xfId="2" applyNumberFormat="1" applyFont="1" applyFill="1" applyBorder="1" applyAlignment="1">
      <alignment vertical="center"/>
    </xf>
    <xf numFmtId="10" fontId="1" fillId="0" borderId="6" xfId="2" applyNumberFormat="1" applyFont="1" applyFill="1" applyBorder="1" applyAlignment="1">
      <alignment vertical="center"/>
    </xf>
    <xf numFmtId="10" fontId="1" fillId="0" borderId="9" xfId="2" applyNumberFormat="1" applyFont="1" applyFill="1" applyBorder="1" applyAlignment="1">
      <alignment vertical="center"/>
    </xf>
    <xf numFmtId="10" fontId="1" fillId="0" borderId="10" xfId="2" applyNumberFormat="1" applyFont="1" applyFill="1" applyBorder="1" applyAlignment="1">
      <alignment vertical="center"/>
    </xf>
    <xf numFmtId="165" fontId="1" fillId="0" borderId="6" xfId="0" applyNumberFormat="1" applyFont="1" applyBorder="1" applyAlignment="1">
      <alignment horizontal="center"/>
    </xf>
    <xf numFmtId="165" fontId="1" fillId="3" borderId="6" xfId="0" applyNumberFormat="1" applyFont="1" applyFill="1" applyBorder="1" applyAlignment="1">
      <alignment horizontal="center" vertical="center"/>
    </xf>
    <xf numFmtId="165" fontId="1" fillId="3" borderId="5" xfId="0" applyNumberFormat="1" applyFont="1" applyFill="1" applyBorder="1" applyAlignment="1">
      <alignment horizontal="center" vertical="center"/>
    </xf>
    <xf numFmtId="0" fontId="4" fillId="5" borderId="11" xfId="0" applyFont="1" applyFill="1" applyBorder="1"/>
    <xf numFmtId="0" fontId="4" fillId="0" borderId="13" xfId="0" applyFont="1" applyBorder="1"/>
    <xf numFmtId="0" fontId="3" fillId="4" borderId="13" xfId="0" applyFont="1" applyFill="1" applyBorder="1"/>
    <xf numFmtId="0" fontId="1" fillId="2" borderId="13" xfId="0" applyFont="1" applyFill="1" applyBorder="1"/>
    <xf numFmtId="0" fontId="7" fillId="2" borderId="13" xfId="0" applyFont="1" applyFill="1" applyBorder="1"/>
    <xf numFmtId="0" fontId="8" fillId="2" borderId="13" xfId="0" applyFont="1" applyFill="1" applyBorder="1"/>
    <xf numFmtId="0" fontId="1" fillId="3" borderId="13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0" fillId="2" borderId="13" xfId="0" applyFont="1" applyFill="1" applyBorder="1"/>
    <xf numFmtId="165" fontId="10" fillId="0" borderId="5" xfId="0" applyNumberFormat="1" applyFont="1" applyBorder="1"/>
    <xf numFmtId="165" fontId="10" fillId="0" borderId="6" xfId="0" applyNumberFormat="1" applyFont="1" applyBorder="1"/>
    <xf numFmtId="165" fontId="1" fillId="0" borderId="0" xfId="0" applyNumberFormat="1" applyFont="1"/>
    <xf numFmtId="0" fontId="1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1" fillId="0" borderId="12" xfId="0" applyFont="1" applyBorder="1" applyAlignment="1">
      <alignment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5" fontId="1" fillId="7" borderId="5" xfId="0" applyNumberFormat="1" applyFont="1" applyFill="1" applyBorder="1" applyAlignment="1">
      <alignment vertical="center"/>
    </xf>
    <xf numFmtId="165" fontId="1" fillId="7" borderId="6" xfId="0" applyNumberFormat="1" applyFont="1" applyFill="1" applyBorder="1" applyAlignment="1">
      <alignment vertical="center"/>
    </xf>
    <xf numFmtId="0" fontId="11" fillId="0" borderId="0" xfId="0" applyFont="1"/>
    <xf numFmtId="165" fontId="12" fillId="0" borderId="5" xfId="0" applyNumberFormat="1" applyFont="1" applyBorder="1"/>
    <xf numFmtId="165" fontId="12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0" fontId="1" fillId="0" borderId="0" xfId="2" applyNumberFormat="1" applyFont="1" applyFill="1" applyBorder="1" applyAlignment="1">
      <alignment vertical="center"/>
    </xf>
    <xf numFmtId="0" fontId="4" fillId="8" borderId="15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9" fontId="1" fillId="0" borderId="0" xfId="2" applyFont="1"/>
    <xf numFmtId="10" fontId="1" fillId="0" borderId="0" xfId="2" applyNumberFormat="1" applyFont="1"/>
    <xf numFmtId="165" fontId="1" fillId="0" borderId="0" xfId="2" applyNumberFormat="1" applyFont="1"/>
    <xf numFmtId="164" fontId="1" fillId="0" borderId="0" xfId="1" applyFont="1"/>
    <xf numFmtId="43" fontId="1" fillId="0" borderId="0" xfId="0" applyNumberFormat="1" applyFont="1"/>
    <xf numFmtId="166" fontId="1" fillId="0" borderId="0" xfId="0" applyNumberFormat="1" applyFont="1"/>
    <xf numFmtId="0" fontId="5" fillId="6" borderId="1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0" fontId="1" fillId="0" borderId="15" xfId="2" applyNumberFormat="1" applyFont="1" applyFill="1" applyBorder="1" applyAlignment="1">
      <alignment horizontal="center" vertical="center"/>
    </xf>
    <xf numFmtId="10" fontId="13" fillId="2" borderId="15" xfId="2" applyNumberFormat="1" applyFont="1" applyFill="1" applyBorder="1" applyAlignment="1">
      <alignment horizontal="center" vertical="center"/>
    </xf>
    <xf numFmtId="4" fontId="1" fillId="0" borderId="16" xfId="2" applyNumberFormat="1" applyFont="1" applyFill="1" applyBorder="1" applyAlignment="1">
      <alignment horizontal="center" vertical="center"/>
    </xf>
    <xf numFmtId="4" fontId="1" fillId="0" borderId="17" xfId="2" applyNumberFormat="1" applyFont="1" applyFill="1" applyBorder="1" applyAlignment="1">
      <alignment horizontal="center" vertical="center"/>
    </xf>
    <xf numFmtId="10" fontId="1" fillId="0" borderId="16" xfId="2" applyNumberFormat="1" applyFont="1" applyFill="1" applyBorder="1" applyAlignment="1">
      <alignment horizontal="center" vertical="center"/>
    </xf>
    <xf numFmtId="10" fontId="1" fillId="0" borderId="17" xfId="2" applyNumberFormat="1" applyFont="1" applyFill="1" applyBorder="1" applyAlignment="1">
      <alignment horizontal="center" vertical="center"/>
    </xf>
  </cellXfs>
  <cellStyles count="3">
    <cellStyle name="Čárka" xfId="1" builtinId="3"/>
    <cellStyle name="Normální" xfId="0" builtinId="0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BDO">
  <a:themeElements>
    <a:clrScheme name="Vlastní 8">
      <a:dk1>
        <a:srgbClr val="404040"/>
      </a:dk1>
      <a:lt1>
        <a:srgbClr val="FFFFFF"/>
      </a:lt1>
      <a:dk2>
        <a:srgbClr val="ED1A3B"/>
      </a:dk2>
      <a:lt2>
        <a:srgbClr val="218F8B"/>
      </a:lt2>
      <a:accent1>
        <a:srgbClr val="02A5E2"/>
      </a:accent1>
      <a:accent2>
        <a:srgbClr val="DF8639"/>
      </a:accent2>
      <a:accent3>
        <a:srgbClr val="98002E"/>
      </a:accent3>
      <a:accent4>
        <a:srgbClr val="657C91"/>
      </a:accent4>
      <a:accent5>
        <a:srgbClr val="E7E7E7"/>
      </a:accent5>
      <a:accent6>
        <a:srgbClr val="FFFFFF"/>
      </a:accent6>
      <a:hlink>
        <a:srgbClr val="218F8B"/>
      </a:hlink>
      <a:folHlink>
        <a:srgbClr val="FFFFFF"/>
      </a:folHlink>
    </a:clrScheme>
    <a:fontScheme name="BDO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BDO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workbookViewId="0">
      <selection activeCell="E8" sqref="E8"/>
    </sheetView>
  </sheetViews>
  <sheetFormatPr defaultColWidth="9.140625" defaultRowHeight="15" x14ac:dyDescent="0.3"/>
  <cols>
    <col min="1" max="1" width="31.140625" style="1" bestFit="1" customWidth="1"/>
    <col min="2" max="11" width="23.7109375" style="1" customWidth="1"/>
    <col min="12" max="12" width="11.85546875" style="1" bestFit="1" customWidth="1"/>
    <col min="13" max="16384" width="9.140625" style="1"/>
  </cols>
  <sheetData>
    <row r="1" spans="1:12" ht="18.75" x14ac:dyDescent="0.3">
      <c r="A1" s="34"/>
      <c r="B1" s="5">
        <v>2024</v>
      </c>
      <c r="C1" s="6">
        <v>2023</v>
      </c>
      <c r="D1" s="5">
        <v>2024</v>
      </c>
      <c r="E1" s="6">
        <v>2023</v>
      </c>
      <c r="F1" s="5">
        <v>2024</v>
      </c>
      <c r="G1" s="6">
        <v>2023</v>
      </c>
      <c r="H1" s="5">
        <v>2024</v>
      </c>
      <c r="I1" s="6">
        <v>2023</v>
      </c>
      <c r="J1" s="5">
        <v>2024</v>
      </c>
      <c r="K1" s="6">
        <v>2023</v>
      </c>
    </row>
    <row r="2" spans="1:12" s="53" customFormat="1" ht="30" x14ac:dyDescent="0.2">
      <c r="A2" s="49"/>
      <c r="B2" s="50" t="s">
        <v>32</v>
      </c>
      <c r="C2" s="51" t="s">
        <v>32</v>
      </c>
      <c r="D2" s="52" t="s">
        <v>38</v>
      </c>
      <c r="E2" s="52" t="s">
        <v>38</v>
      </c>
      <c r="F2" s="52" t="s">
        <v>57</v>
      </c>
      <c r="G2" s="52" t="s">
        <v>57</v>
      </c>
      <c r="H2" s="50" t="s">
        <v>33</v>
      </c>
      <c r="I2" s="51" t="s">
        <v>33</v>
      </c>
      <c r="J2" s="52" t="s">
        <v>57</v>
      </c>
      <c r="K2" s="52" t="s">
        <v>57</v>
      </c>
    </row>
    <row r="3" spans="1:12" x14ac:dyDescent="0.3">
      <c r="A3" s="35" t="s">
        <v>0</v>
      </c>
      <c r="B3" s="7">
        <v>20000</v>
      </c>
      <c r="C3" s="8">
        <v>20000</v>
      </c>
      <c r="D3" s="7">
        <v>20000</v>
      </c>
      <c r="E3" s="8">
        <v>20000</v>
      </c>
      <c r="F3" s="7">
        <v>50000</v>
      </c>
      <c r="G3" s="8">
        <v>50000</v>
      </c>
      <c r="H3" s="7">
        <v>160000</v>
      </c>
      <c r="I3" s="8">
        <v>160000</v>
      </c>
      <c r="J3" s="7">
        <v>160000</v>
      </c>
      <c r="K3" s="7">
        <v>160000</v>
      </c>
    </row>
    <row r="4" spans="1:12" x14ac:dyDescent="0.3">
      <c r="A4" s="35" t="s">
        <v>17</v>
      </c>
      <c r="B4" s="9">
        <f t="shared" ref="B4:I4" si="0">12*B3</f>
        <v>240000</v>
      </c>
      <c r="C4" s="10">
        <f t="shared" si="0"/>
        <v>240000</v>
      </c>
      <c r="D4" s="9">
        <f>12*D3</f>
        <v>240000</v>
      </c>
      <c r="E4" s="10">
        <f>12*E3</f>
        <v>240000</v>
      </c>
      <c r="F4" s="9">
        <f>12*F3</f>
        <v>600000</v>
      </c>
      <c r="G4" s="10">
        <f>12*G3</f>
        <v>600000</v>
      </c>
      <c r="H4" s="9">
        <f>12*H3</f>
        <v>1920000</v>
      </c>
      <c r="I4" s="10">
        <f t="shared" si="0"/>
        <v>1920000</v>
      </c>
      <c r="J4" s="9">
        <f t="shared" ref="J4:K4" si="1">12*J3</f>
        <v>1920000</v>
      </c>
      <c r="K4" s="10">
        <f t="shared" si="1"/>
        <v>1920000</v>
      </c>
    </row>
    <row r="5" spans="1:12" x14ac:dyDescent="0.3">
      <c r="A5" s="36" t="s">
        <v>4</v>
      </c>
      <c r="B5" s="11"/>
      <c r="C5" s="12"/>
      <c r="D5" s="11"/>
      <c r="E5" s="12"/>
      <c r="F5" s="11"/>
      <c r="G5" s="12"/>
      <c r="H5" s="11"/>
      <c r="I5" s="12"/>
      <c r="J5" s="11"/>
      <c r="K5" s="12"/>
    </row>
    <row r="6" spans="1:12" x14ac:dyDescent="0.3">
      <c r="A6" s="37" t="s">
        <v>2</v>
      </c>
      <c r="B6" s="13">
        <f>0</f>
        <v>0</v>
      </c>
      <c r="C6" s="14">
        <f>0</f>
        <v>0</v>
      </c>
      <c r="D6" s="13">
        <f>0</f>
        <v>0</v>
      </c>
      <c r="E6" s="14">
        <f>0</f>
        <v>0</v>
      </c>
      <c r="F6" s="13">
        <f>0</f>
        <v>0</v>
      </c>
      <c r="G6" s="14">
        <f>0</f>
        <v>0</v>
      </c>
      <c r="H6" s="13">
        <f>0</f>
        <v>0</v>
      </c>
      <c r="I6" s="14">
        <f>0</f>
        <v>0</v>
      </c>
      <c r="J6" s="13">
        <f>0</f>
        <v>0</v>
      </c>
      <c r="K6" s="14">
        <f>0</f>
        <v>0</v>
      </c>
    </row>
    <row r="7" spans="1:12" x14ac:dyDescent="0.3">
      <c r="A7" s="37" t="s">
        <v>1</v>
      </c>
      <c r="B7" s="13">
        <f>B4-B6</f>
        <v>240000</v>
      </c>
      <c r="C7" s="14">
        <f t="shared" ref="C7:I7" si="2">C4-C6</f>
        <v>240000</v>
      </c>
      <c r="D7" s="13">
        <f>D4-D6</f>
        <v>240000</v>
      </c>
      <c r="E7" s="14">
        <f>E4-E6</f>
        <v>240000</v>
      </c>
      <c r="F7" s="13">
        <f t="shared" si="2"/>
        <v>600000</v>
      </c>
      <c r="G7" s="14">
        <f t="shared" si="2"/>
        <v>600000</v>
      </c>
      <c r="H7" s="13">
        <f>H4-H6</f>
        <v>1920000</v>
      </c>
      <c r="I7" s="14">
        <f t="shared" si="2"/>
        <v>1920000</v>
      </c>
      <c r="J7" s="13">
        <f t="shared" ref="J7:K7" si="3">J4-J6</f>
        <v>1920000</v>
      </c>
      <c r="K7" s="14">
        <f t="shared" si="3"/>
        <v>1920000</v>
      </c>
    </row>
    <row r="8" spans="1:12" x14ac:dyDescent="0.3">
      <c r="A8" s="37" t="s">
        <v>3</v>
      </c>
      <c r="B8" s="13">
        <f>IF(B7&gt;$A$44,(B7-$A$44)*0.23+$A$44*0.15,0.15*B7)</f>
        <v>36000</v>
      </c>
      <c r="C8" s="14">
        <f>IF(C7&gt;$B$44,(C7-$B$44)*0.23+$B$44*0.15,0.15*C7)</f>
        <v>36000</v>
      </c>
      <c r="D8" s="13">
        <f>IF(D7&gt;$A$44,(D7-$A$44)*0.23+$A$44*0.15,0.15*D7)</f>
        <v>36000</v>
      </c>
      <c r="E8" s="14">
        <f>IF(E7&gt;$B$44,(E7-$B$44)*0.23+$B$44*0.15,0.15*E7)</f>
        <v>36000</v>
      </c>
      <c r="F8" s="13">
        <f>IF(F7&gt;$A$44,(F7-$A$44)*0.23+$A$44*0.15,0.15*F7)</f>
        <v>90000</v>
      </c>
      <c r="G8" s="14">
        <f>IF(G7&gt;$B$44,(G7-$B$44)*0.23+$B$44*0.15,0.15*G7)</f>
        <v>90000</v>
      </c>
      <c r="H8" s="13">
        <f>CEILING(IF(H7&gt;$A$44,(H7-$A$44)*0.23+$A$44*0.15,0.15*H7),1)</f>
        <v>314976</v>
      </c>
      <c r="I8" s="14">
        <f>IF(I7&gt;$B$44,(I7-$B$44)*0.23+$B$44*0.15,0.15*I7)</f>
        <v>288000</v>
      </c>
      <c r="J8" s="13">
        <f>CEILING(IF(J7&gt;$A$44,(J7-$A$44)*0.23+$A$44*0.15,0.15*J7),1)</f>
        <v>314976</v>
      </c>
      <c r="K8" s="14">
        <f>IF(K7&gt;$B$44,(K7-$B$44)*0.23+$B$44*0.15,0.15*K7)</f>
        <v>288000</v>
      </c>
      <c r="L8" s="46"/>
    </row>
    <row r="9" spans="1:12" x14ac:dyDescent="0.3">
      <c r="A9" s="37" t="s">
        <v>15</v>
      </c>
      <c r="B9" s="13">
        <v>30840</v>
      </c>
      <c r="C9" s="14">
        <v>30840</v>
      </c>
      <c r="D9" s="13">
        <v>30840</v>
      </c>
      <c r="E9" s="14">
        <v>30840</v>
      </c>
      <c r="F9" s="13">
        <v>30840</v>
      </c>
      <c r="G9" s="14">
        <v>30840</v>
      </c>
      <c r="H9" s="13">
        <v>30840</v>
      </c>
      <c r="I9" s="14">
        <v>30840</v>
      </c>
      <c r="J9" s="13">
        <v>30840</v>
      </c>
      <c r="K9" s="14">
        <v>30840</v>
      </c>
    </row>
    <row r="10" spans="1:12" x14ac:dyDescent="0.3">
      <c r="A10" s="43" t="s">
        <v>30</v>
      </c>
      <c r="B10" s="44">
        <v>0</v>
      </c>
      <c r="C10" s="45">
        <v>4020</v>
      </c>
      <c r="D10" s="13">
        <v>0</v>
      </c>
      <c r="E10" s="14">
        <v>0</v>
      </c>
      <c r="F10" s="13">
        <v>0</v>
      </c>
      <c r="G10" s="14">
        <v>0</v>
      </c>
      <c r="H10" s="44">
        <v>0</v>
      </c>
      <c r="I10" s="45">
        <v>0</v>
      </c>
      <c r="J10" s="13">
        <v>0</v>
      </c>
      <c r="K10" s="14">
        <v>0</v>
      </c>
    </row>
    <row r="11" spans="1:12" x14ac:dyDescent="0.3">
      <c r="A11" s="43" t="s">
        <v>40</v>
      </c>
      <c r="B11" s="44">
        <v>0</v>
      </c>
      <c r="C11" s="45">
        <v>0</v>
      </c>
      <c r="D11" s="13">
        <v>0</v>
      </c>
      <c r="E11" s="14">
        <v>0</v>
      </c>
      <c r="F11" s="13">
        <v>0</v>
      </c>
      <c r="G11" s="14">
        <f>17300*2</f>
        <v>34600</v>
      </c>
      <c r="H11" s="44"/>
      <c r="I11" s="45"/>
      <c r="J11" s="13">
        <v>0</v>
      </c>
      <c r="K11" s="14">
        <f>17300*2</f>
        <v>34600</v>
      </c>
    </row>
    <row r="12" spans="1:12" x14ac:dyDescent="0.3">
      <c r="A12" s="38" t="s">
        <v>29</v>
      </c>
      <c r="B12" s="15">
        <v>0</v>
      </c>
      <c r="C12" s="16">
        <v>0</v>
      </c>
      <c r="D12" s="13">
        <v>0</v>
      </c>
      <c r="E12" s="14">
        <v>24840</v>
      </c>
      <c r="F12" s="13">
        <v>0</v>
      </c>
      <c r="G12" s="14">
        <v>24840</v>
      </c>
      <c r="H12" s="15">
        <v>0</v>
      </c>
      <c r="I12" s="16">
        <v>0</v>
      </c>
      <c r="J12" s="13">
        <v>0</v>
      </c>
      <c r="K12" s="14">
        <v>24840</v>
      </c>
    </row>
    <row r="13" spans="1:12" x14ac:dyDescent="0.3">
      <c r="A13" s="39" t="s">
        <v>25</v>
      </c>
      <c r="B13" s="17">
        <f>IF((B8-B9-B10-B12)&lt;0,0,(B8-B9-B10-B12))</f>
        <v>5160</v>
      </c>
      <c r="C13" s="18">
        <f>IF((C8-C9-C10-C12)&lt;0,0,(C8-C9-C10-C12))</f>
        <v>1140</v>
      </c>
      <c r="D13" s="17">
        <f>IF((D8-D9)&lt;0,0,(D8-D9))</f>
        <v>5160</v>
      </c>
      <c r="E13" s="18">
        <f>IF((E8-E9-E12-E10)&lt;0,0,(E8-E9-E12-E10))</f>
        <v>0</v>
      </c>
      <c r="F13" s="17">
        <f>IF((F8-F9)&lt;0,0,(F8-F9))</f>
        <v>59160</v>
      </c>
      <c r="G13" s="18">
        <f>IF((G8-G9-G12-G10-G11)&lt;0,0,(G8-G9-G12-G10-G11))</f>
        <v>0</v>
      </c>
      <c r="H13" s="17">
        <f t="shared" ref="H13" si="4">IF((H8-H9-H10-H12)&lt;0,0,(H8-H9-H10-H12))</f>
        <v>284136</v>
      </c>
      <c r="I13" s="18">
        <f>IF((I8-I9-I10-I12)&lt;0,0,(I8-I9-I10-I12))</f>
        <v>257160</v>
      </c>
      <c r="J13" s="17">
        <f>IF((J8-J9)&lt;0,0,(J8-J9))</f>
        <v>284136</v>
      </c>
      <c r="K13" s="18">
        <f>IF((K8-K9-K12-K10-K11)&lt;0,0,(K8-K9-K12-K10-K11))</f>
        <v>197720</v>
      </c>
    </row>
    <row r="14" spans="1:12" x14ac:dyDescent="0.3">
      <c r="A14" s="38" t="s">
        <v>16</v>
      </c>
      <c r="B14" s="15">
        <v>0</v>
      </c>
      <c r="C14" s="16">
        <v>0</v>
      </c>
      <c r="D14" s="13">
        <f>15204+22320</f>
        <v>37524</v>
      </c>
      <c r="E14" s="14">
        <f>15204+22320</f>
        <v>37524</v>
      </c>
      <c r="F14" s="13">
        <f t="shared" ref="F14:J14" si="5">15204+22320</f>
        <v>37524</v>
      </c>
      <c r="G14" s="14">
        <f>15204+22320</f>
        <v>37524</v>
      </c>
      <c r="H14" s="15">
        <v>0</v>
      </c>
      <c r="I14" s="16">
        <v>0</v>
      </c>
      <c r="J14" s="13">
        <f t="shared" si="5"/>
        <v>37524</v>
      </c>
      <c r="K14" s="14">
        <f>15204+22320</f>
        <v>37524</v>
      </c>
    </row>
    <row r="15" spans="1:12" ht="30" x14ac:dyDescent="0.3">
      <c r="A15" s="40" t="s">
        <v>19</v>
      </c>
      <c r="B15" s="19">
        <f>B13-B14</f>
        <v>5160</v>
      </c>
      <c r="C15" s="20">
        <f>C13-C14</f>
        <v>1140</v>
      </c>
      <c r="D15" s="56">
        <f>D13-D14</f>
        <v>-32364</v>
      </c>
      <c r="E15" s="57">
        <f>E13-E14</f>
        <v>-37524</v>
      </c>
      <c r="F15" s="19">
        <f t="shared" ref="F15" si="6">F13-F14</f>
        <v>21636</v>
      </c>
      <c r="G15" s="57">
        <f>G13-G14</f>
        <v>-37524</v>
      </c>
      <c r="H15" s="19">
        <f t="shared" ref="H15:I15" si="7">H13-H14</f>
        <v>284136</v>
      </c>
      <c r="I15" s="20">
        <f t="shared" si="7"/>
        <v>257160</v>
      </c>
      <c r="J15" s="19">
        <f>J13-J14</f>
        <v>246612</v>
      </c>
      <c r="K15" s="20">
        <f>K13-K14</f>
        <v>160196</v>
      </c>
    </row>
    <row r="16" spans="1:12" x14ac:dyDescent="0.3">
      <c r="A16" s="36" t="s">
        <v>5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</row>
    <row r="17" spans="1:11" x14ac:dyDescent="0.3">
      <c r="A17" s="37" t="s">
        <v>6</v>
      </c>
      <c r="B17" s="13">
        <f>B4</f>
        <v>240000</v>
      </c>
      <c r="C17" s="14">
        <f t="shared" ref="C17:H17" si="8">C4</f>
        <v>240000</v>
      </c>
      <c r="D17" s="13">
        <f t="shared" si="8"/>
        <v>240000</v>
      </c>
      <c r="E17" s="14">
        <f>E4</f>
        <v>240000</v>
      </c>
      <c r="F17" s="13">
        <f t="shared" si="8"/>
        <v>600000</v>
      </c>
      <c r="G17" s="14">
        <f>G4</f>
        <v>600000</v>
      </c>
      <c r="H17" s="13">
        <f t="shared" si="8"/>
        <v>1920000</v>
      </c>
      <c r="I17" s="14">
        <f t="shared" ref="I17" si="9">I4</f>
        <v>1920000</v>
      </c>
      <c r="J17" s="13">
        <f t="shared" ref="J17:K17" si="10">J4</f>
        <v>1920000</v>
      </c>
      <c r="K17" s="14">
        <f t="shared" si="10"/>
        <v>1920000</v>
      </c>
    </row>
    <row r="18" spans="1:11" x14ac:dyDescent="0.3">
      <c r="A18" s="37" t="s">
        <v>26</v>
      </c>
      <c r="B18" s="21" t="s">
        <v>20</v>
      </c>
      <c r="C18" s="22" t="s">
        <v>20</v>
      </c>
      <c r="D18" s="21" t="s">
        <v>20</v>
      </c>
      <c r="E18" s="22" t="s">
        <v>20</v>
      </c>
      <c r="F18" s="21" t="s">
        <v>20</v>
      </c>
      <c r="G18" s="22" t="s">
        <v>20</v>
      </c>
      <c r="H18" s="21" t="s">
        <v>20</v>
      </c>
      <c r="I18" s="31" t="s">
        <v>20</v>
      </c>
      <c r="J18" s="21" t="s">
        <v>20</v>
      </c>
      <c r="K18" s="31" t="s">
        <v>20</v>
      </c>
    </row>
    <row r="19" spans="1:11" x14ac:dyDescent="0.3">
      <c r="A19" s="38" t="s">
        <v>27</v>
      </c>
      <c r="B19" s="23" t="s">
        <v>20</v>
      </c>
      <c r="C19" s="24" t="s">
        <v>20</v>
      </c>
      <c r="D19" s="21" t="s">
        <v>20</v>
      </c>
      <c r="E19" s="22" t="s">
        <v>20</v>
      </c>
      <c r="F19" s="21" t="s">
        <v>20</v>
      </c>
      <c r="G19" s="22" t="s">
        <v>20</v>
      </c>
      <c r="H19" s="23" t="s">
        <v>20</v>
      </c>
      <c r="I19" s="24" t="s">
        <v>20</v>
      </c>
      <c r="J19" s="21" t="s">
        <v>20</v>
      </c>
      <c r="K19" s="31" t="s">
        <v>20</v>
      </c>
    </row>
    <row r="20" spans="1:11" x14ac:dyDescent="0.3">
      <c r="A20" s="38" t="s">
        <v>28</v>
      </c>
      <c r="B20" s="23" t="s">
        <v>20</v>
      </c>
      <c r="C20" s="24" t="s">
        <v>20</v>
      </c>
      <c r="D20" s="21" t="s">
        <v>20</v>
      </c>
      <c r="E20" s="22" t="s">
        <v>20</v>
      </c>
      <c r="F20" s="21" t="s">
        <v>20</v>
      </c>
      <c r="G20" s="22" t="s">
        <v>20</v>
      </c>
      <c r="H20" s="23" t="s">
        <v>20</v>
      </c>
      <c r="I20" s="24" t="s">
        <v>20</v>
      </c>
      <c r="J20" s="21" t="s">
        <v>20</v>
      </c>
      <c r="K20" s="31" t="s">
        <v>20</v>
      </c>
    </row>
    <row r="21" spans="1:11" x14ac:dyDescent="0.3">
      <c r="A21" s="37" t="s">
        <v>8</v>
      </c>
      <c r="B21" s="13">
        <f>B17</f>
        <v>240000</v>
      </c>
      <c r="C21" s="14">
        <f t="shared" ref="C21:H21" si="11">C17</f>
        <v>240000</v>
      </c>
      <c r="D21" s="13">
        <f t="shared" si="11"/>
        <v>240000</v>
      </c>
      <c r="E21" s="14">
        <f t="shared" si="11"/>
        <v>240000</v>
      </c>
      <c r="F21" s="13">
        <f t="shared" si="11"/>
        <v>600000</v>
      </c>
      <c r="G21" s="14">
        <f>G17</f>
        <v>600000</v>
      </c>
      <c r="H21" s="13">
        <f t="shared" si="11"/>
        <v>1920000</v>
      </c>
      <c r="I21" s="14">
        <f>I17</f>
        <v>1920000</v>
      </c>
      <c r="J21" s="13">
        <f t="shared" ref="J21" si="12">J17</f>
        <v>1920000</v>
      </c>
      <c r="K21" s="14">
        <f>K17</f>
        <v>1920000</v>
      </c>
    </row>
    <row r="22" spans="1:11" x14ac:dyDescent="0.3">
      <c r="A22" s="40" t="s">
        <v>9</v>
      </c>
      <c r="B22" s="25">
        <f>7.1%*B21</f>
        <v>17040</v>
      </c>
      <c r="C22" s="26">
        <f>6.5%*C21</f>
        <v>15600</v>
      </c>
      <c r="D22" s="25">
        <f>7.1%*D21</f>
        <v>17040</v>
      </c>
      <c r="E22" s="26">
        <f>6.5%*E21</f>
        <v>15600</v>
      </c>
      <c r="F22" s="25">
        <f>7.1%*F21</f>
        <v>42599.999999999993</v>
      </c>
      <c r="G22" s="26">
        <f>6.5%*G21</f>
        <v>39000</v>
      </c>
      <c r="H22" s="25">
        <f>7.1%*H21</f>
        <v>136320</v>
      </c>
      <c r="I22" s="26">
        <f>6.5%*I21</f>
        <v>124800</v>
      </c>
      <c r="J22" s="25">
        <f>7.1%*J21</f>
        <v>136320</v>
      </c>
      <c r="K22" s="26">
        <f>6.5%*K21</f>
        <v>124800</v>
      </c>
    </row>
    <row r="23" spans="1:11" ht="30" x14ac:dyDescent="0.3">
      <c r="A23" s="40" t="s">
        <v>10</v>
      </c>
      <c r="B23" s="19">
        <f>24.8%*B21</f>
        <v>59520</v>
      </c>
      <c r="C23" s="20">
        <f t="shared" ref="C23:H23" si="13">24.8%*C21</f>
        <v>59520</v>
      </c>
      <c r="D23" s="19">
        <f t="shared" si="13"/>
        <v>59520</v>
      </c>
      <c r="E23" s="20">
        <f t="shared" si="13"/>
        <v>59520</v>
      </c>
      <c r="F23" s="19">
        <f t="shared" si="13"/>
        <v>148800</v>
      </c>
      <c r="G23" s="20">
        <f>24.8%*G21</f>
        <v>148800</v>
      </c>
      <c r="H23" s="19">
        <f t="shared" si="13"/>
        <v>476160</v>
      </c>
      <c r="I23" s="20">
        <f>24.8%*I21</f>
        <v>476160</v>
      </c>
      <c r="J23" s="19">
        <f>24.8%*J21</f>
        <v>476160</v>
      </c>
      <c r="K23" s="20">
        <f t="shared" ref="K23" si="14">24.8%*K21</f>
        <v>476160</v>
      </c>
    </row>
    <row r="24" spans="1:11" x14ac:dyDescent="0.3">
      <c r="A24" s="36" t="s">
        <v>11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</row>
    <row r="25" spans="1:11" x14ac:dyDescent="0.3">
      <c r="A25" s="37" t="s">
        <v>6</v>
      </c>
      <c r="B25" s="13">
        <f>B17</f>
        <v>240000</v>
      </c>
      <c r="C25" s="14">
        <f t="shared" ref="C25:I25" si="15">C17</f>
        <v>240000</v>
      </c>
      <c r="D25" s="13">
        <f>D17</f>
        <v>240000</v>
      </c>
      <c r="E25" s="14">
        <f>E17</f>
        <v>240000</v>
      </c>
      <c r="F25" s="13">
        <f>F17</f>
        <v>600000</v>
      </c>
      <c r="G25" s="14">
        <f>G17</f>
        <v>600000</v>
      </c>
      <c r="H25" s="13">
        <f t="shared" si="15"/>
        <v>1920000</v>
      </c>
      <c r="I25" s="14">
        <f t="shared" si="15"/>
        <v>1920000</v>
      </c>
      <c r="J25" s="13">
        <f>J17</f>
        <v>1920000</v>
      </c>
      <c r="K25" s="14">
        <f t="shared" ref="K25" si="16">K17</f>
        <v>1920000</v>
      </c>
    </row>
    <row r="26" spans="1:11" x14ac:dyDescent="0.3">
      <c r="A26" s="37" t="s">
        <v>7</v>
      </c>
      <c r="B26" s="21"/>
      <c r="C26" s="22"/>
      <c r="D26" s="21"/>
      <c r="E26" s="22"/>
      <c r="F26" s="21"/>
      <c r="G26" s="22"/>
      <c r="H26" s="21"/>
      <c r="I26" s="22"/>
      <c r="J26" s="21"/>
      <c r="K26" s="22"/>
    </row>
    <row r="27" spans="1:11" x14ac:dyDescent="0.3">
      <c r="A27" s="37" t="s">
        <v>8</v>
      </c>
      <c r="B27" s="13">
        <f t="shared" ref="B27:I27" si="17">IF(B25&gt;B26,B25,B26)</f>
        <v>240000</v>
      </c>
      <c r="C27" s="14">
        <f t="shared" si="17"/>
        <v>240000</v>
      </c>
      <c r="D27" s="13">
        <f>IF(D25&gt;D26,D25,D26)</f>
        <v>240000</v>
      </c>
      <c r="E27" s="14">
        <f>IF(E25&gt;E26,E25,E26)</f>
        <v>240000</v>
      </c>
      <c r="F27" s="13">
        <f>IF(F25&gt;F26,F25,F26)</f>
        <v>600000</v>
      </c>
      <c r="G27" s="14">
        <f>IF(G25&gt;G26,G25,G26)</f>
        <v>600000</v>
      </c>
      <c r="H27" s="13">
        <f t="shared" si="17"/>
        <v>1920000</v>
      </c>
      <c r="I27" s="14">
        <f t="shared" si="17"/>
        <v>1920000</v>
      </c>
      <c r="J27" s="13">
        <f t="shared" ref="J27" si="18">IF(J25&gt;J26,J25,J26)</f>
        <v>1920000</v>
      </c>
      <c r="K27" s="14">
        <f>IF(K25&gt;K26,K25,K26)</f>
        <v>1920000</v>
      </c>
    </row>
    <row r="28" spans="1:11" x14ac:dyDescent="0.3">
      <c r="A28" s="40" t="s">
        <v>9</v>
      </c>
      <c r="B28" s="25">
        <f>4.5%*B27</f>
        <v>10800</v>
      </c>
      <c r="C28" s="26">
        <f t="shared" ref="C28:G28" si="19">4.5%*C27</f>
        <v>10800</v>
      </c>
      <c r="D28" s="25">
        <f t="shared" si="19"/>
        <v>10800</v>
      </c>
      <c r="E28" s="26">
        <f t="shared" si="19"/>
        <v>10800</v>
      </c>
      <c r="F28" s="25">
        <f t="shared" si="19"/>
        <v>27000</v>
      </c>
      <c r="G28" s="26">
        <f t="shared" si="19"/>
        <v>27000</v>
      </c>
      <c r="H28" s="25">
        <f>4.5%*H27</f>
        <v>86400</v>
      </c>
      <c r="I28" s="26">
        <f>4.5%*I27</f>
        <v>86400</v>
      </c>
      <c r="J28" s="25">
        <f>4.5%*J27</f>
        <v>86400</v>
      </c>
      <c r="K28" s="26">
        <f>4.5%*K27</f>
        <v>86400</v>
      </c>
    </row>
    <row r="29" spans="1:11" ht="30" x14ac:dyDescent="0.3">
      <c r="A29" s="40" t="s">
        <v>10</v>
      </c>
      <c r="B29" s="19">
        <f>9%*B27</f>
        <v>21600</v>
      </c>
      <c r="C29" s="20">
        <f t="shared" ref="C29:H29" si="20">9%*C27</f>
        <v>21600</v>
      </c>
      <c r="D29" s="19">
        <f t="shared" si="20"/>
        <v>21600</v>
      </c>
      <c r="E29" s="20">
        <f t="shared" si="20"/>
        <v>21600</v>
      </c>
      <c r="F29" s="19">
        <f t="shared" si="20"/>
        <v>54000</v>
      </c>
      <c r="G29" s="20">
        <f t="shared" si="20"/>
        <v>54000</v>
      </c>
      <c r="H29" s="19">
        <f t="shared" si="20"/>
        <v>172800</v>
      </c>
      <c r="I29" s="20">
        <f t="shared" ref="I29" si="21">9%*I27</f>
        <v>172800</v>
      </c>
      <c r="J29" s="19">
        <f t="shared" ref="J29:K29" si="22">9%*J27</f>
        <v>172800</v>
      </c>
      <c r="K29" s="20">
        <f t="shared" si="22"/>
        <v>172800</v>
      </c>
    </row>
    <row r="30" spans="1:11" x14ac:dyDescent="0.3">
      <c r="A30" s="36" t="s">
        <v>12</v>
      </c>
      <c r="B30" s="11"/>
      <c r="C30" s="12"/>
      <c r="D30" s="11"/>
      <c r="E30" s="12"/>
      <c r="F30" s="11"/>
      <c r="G30" s="12"/>
      <c r="H30" s="11"/>
      <c r="I30" s="12"/>
      <c r="J30" s="11"/>
      <c r="K30" s="12"/>
    </row>
    <row r="31" spans="1:11" x14ac:dyDescent="0.3">
      <c r="A31" s="40" t="s">
        <v>14</v>
      </c>
      <c r="B31" s="25">
        <f>B4-B15-B22-B28</f>
        <v>207000</v>
      </c>
      <c r="C31" s="26">
        <f t="shared" ref="C31:K31" si="23">C4-C15-C22-C28</f>
        <v>212460</v>
      </c>
      <c r="D31" s="25">
        <f t="shared" si="23"/>
        <v>244524</v>
      </c>
      <c r="E31" s="26">
        <f t="shared" si="23"/>
        <v>251124</v>
      </c>
      <c r="F31" s="25">
        <f t="shared" si="23"/>
        <v>508764</v>
      </c>
      <c r="G31" s="26">
        <f t="shared" si="23"/>
        <v>571524</v>
      </c>
      <c r="H31" s="25">
        <f>H4-H15-H22-H28</f>
        <v>1413144</v>
      </c>
      <c r="I31" s="26">
        <f>I4-I15-I22-I28</f>
        <v>1451640</v>
      </c>
      <c r="J31" s="25">
        <f t="shared" si="23"/>
        <v>1450668</v>
      </c>
      <c r="K31" s="26">
        <f t="shared" si="23"/>
        <v>1548604</v>
      </c>
    </row>
    <row r="32" spans="1:11" ht="30" x14ac:dyDescent="0.3">
      <c r="A32" s="41" t="s">
        <v>22</v>
      </c>
      <c r="B32" s="27">
        <f>B31/B4</f>
        <v>0.86250000000000004</v>
      </c>
      <c r="C32" s="28">
        <f t="shared" ref="C32:K32" si="24">C31/C4</f>
        <v>0.88524999999999998</v>
      </c>
      <c r="D32" s="27">
        <f t="shared" si="24"/>
        <v>1.01885</v>
      </c>
      <c r="E32" s="28">
        <f t="shared" si="24"/>
        <v>1.0463499999999999</v>
      </c>
      <c r="F32" s="27">
        <f t="shared" si="24"/>
        <v>0.84794000000000003</v>
      </c>
      <c r="G32" s="28">
        <f t="shared" si="24"/>
        <v>0.95254000000000005</v>
      </c>
      <c r="H32" s="27">
        <f t="shared" si="24"/>
        <v>0.73601249999999996</v>
      </c>
      <c r="I32" s="28">
        <f>I31/I4</f>
        <v>0.75606249999999997</v>
      </c>
      <c r="J32" s="27">
        <f t="shared" si="24"/>
        <v>0.75555625000000004</v>
      </c>
      <c r="K32" s="28">
        <f t="shared" si="24"/>
        <v>0.80656458333333336</v>
      </c>
    </row>
    <row r="33" spans="1:11" x14ac:dyDescent="0.3">
      <c r="A33" s="36" t="s">
        <v>13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</row>
    <row r="34" spans="1:11" ht="30" x14ac:dyDescent="0.3">
      <c r="A34" s="40" t="s">
        <v>13</v>
      </c>
      <c r="B34" s="19">
        <f>B4+B23+B29</f>
        <v>321120</v>
      </c>
      <c r="C34" s="20">
        <f t="shared" ref="C34:K34" si="25">C4+C23+C29</f>
        <v>321120</v>
      </c>
      <c r="D34" s="19">
        <f t="shared" si="25"/>
        <v>321120</v>
      </c>
      <c r="E34" s="20">
        <f t="shared" si="25"/>
        <v>321120</v>
      </c>
      <c r="F34" s="19">
        <f t="shared" si="25"/>
        <v>802800</v>
      </c>
      <c r="G34" s="20">
        <f t="shared" si="25"/>
        <v>802800</v>
      </c>
      <c r="H34" s="19">
        <f>H4+H23+H29</f>
        <v>2568960</v>
      </c>
      <c r="I34" s="20">
        <f t="shared" si="25"/>
        <v>2568960</v>
      </c>
      <c r="J34" s="19">
        <f t="shared" si="25"/>
        <v>2568960</v>
      </c>
      <c r="K34" s="20">
        <f t="shared" si="25"/>
        <v>2568960</v>
      </c>
    </row>
    <row r="35" spans="1:11" ht="45" x14ac:dyDescent="0.3">
      <c r="A35" s="41" t="s">
        <v>21</v>
      </c>
      <c r="B35" s="27">
        <f>B34/B4</f>
        <v>1.3380000000000001</v>
      </c>
      <c r="C35" s="28">
        <f t="shared" ref="C35:K35" si="26">C34/C4</f>
        <v>1.3380000000000001</v>
      </c>
      <c r="D35" s="27">
        <f t="shared" si="26"/>
        <v>1.3380000000000001</v>
      </c>
      <c r="E35" s="28">
        <f t="shared" si="26"/>
        <v>1.3380000000000001</v>
      </c>
      <c r="F35" s="27">
        <f t="shared" si="26"/>
        <v>1.3380000000000001</v>
      </c>
      <c r="G35" s="28">
        <f t="shared" si="26"/>
        <v>1.3380000000000001</v>
      </c>
      <c r="H35" s="27">
        <f t="shared" si="26"/>
        <v>1.3380000000000001</v>
      </c>
      <c r="I35" s="28">
        <f t="shared" si="26"/>
        <v>1.3380000000000001</v>
      </c>
      <c r="J35" s="27">
        <f t="shared" si="26"/>
        <v>1.3380000000000001</v>
      </c>
      <c r="K35" s="28">
        <f t="shared" si="26"/>
        <v>1.3380000000000001</v>
      </c>
    </row>
    <row r="36" spans="1:11" x14ac:dyDescent="0.3">
      <c r="A36" s="36" t="s">
        <v>18</v>
      </c>
      <c r="B36" s="11"/>
      <c r="C36" s="12"/>
      <c r="D36" s="11"/>
      <c r="E36" s="12"/>
      <c r="F36" s="11"/>
      <c r="G36" s="12"/>
      <c r="H36" s="11"/>
      <c r="I36" s="12"/>
      <c r="J36" s="11"/>
      <c r="K36" s="12"/>
    </row>
    <row r="37" spans="1:11" x14ac:dyDescent="0.3">
      <c r="A37" s="40" t="s">
        <v>18</v>
      </c>
      <c r="B37" s="19">
        <f>B15+B22+B28</f>
        <v>33000</v>
      </c>
      <c r="C37" s="20">
        <f t="shared" ref="C37:K37" si="27">C15+C22+C28</f>
        <v>27540</v>
      </c>
      <c r="D37" s="56">
        <f t="shared" si="27"/>
        <v>-4524</v>
      </c>
      <c r="E37" s="57">
        <f t="shared" si="27"/>
        <v>-11124</v>
      </c>
      <c r="F37" s="19">
        <f t="shared" si="27"/>
        <v>91236</v>
      </c>
      <c r="G37" s="20">
        <f t="shared" si="27"/>
        <v>28476</v>
      </c>
      <c r="H37" s="19">
        <f>H15+H22+H28</f>
        <v>506856</v>
      </c>
      <c r="I37" s="32">
        <f>I15+I22+I28</f>
        <v>468360</v>
      </c>
      <c r="J37" s="19">
        <f t="shared" si="27"/>
        <v>469332</v>
      </c>
      <c r="K37" s="32">
        <f t="shared" si="27"/>
        <v>371396</v>
      </c>
    </row>
    <row r="38" spans="1:11" ht="30.75" thickBot="1" x14ac:dyDescent="0.35">
      <c r="A38" s="42" t="s">
        <v>23</v>
      </c>
      <c r="B38" s="29">
        <f t="shared" ref="B38:K38" si="28">B37/B4</f>
        <v>0.13750000000000001</v>
      </c>
      <c r="C38" s="30">
        <f t="shared" si="28"/>
        <v>0.11475</v>
      </c>
      <c r="D38" s="29">
        <f t="shared" si="28"/>
        <v>-1.8849999999999999E-2</v>
      </c>
      <c r="E38" s="30">
        <f t="shared" si="28"/>
        <v>-4.6350000000000002E-2</v>
      </c>
      <c r="F38" s="29">
        <f t="shared" si="28"/>
        <v>0.15206</v>
      </c>
      <c r="G38" s="30">
        <f t="shared" si="28"/>
        <v>4.7460000000000002E-2</v>
      </c>
      <c r="H38" s="29">
        <f t="shared" si="28"/>
        <v>0.26398749999999999</v>
      </c>
      <c r="I38" s="30">
        <f t="shared" si="28"/>
        <v>0.2439375</v>
      </c>
      <c r="J38" s="29">
        <f t="shared" si="28"/>
        <v>0.24444374999999999</v>
      </c>
      <c r="K38" s="30">
        <f t="shared" si="28"/>
        <v>0.19343541666666667</v>
      </c>
    </row>
    <row r="39" spans="1:11" ht="15.75" thickBot="1" x14ac:dyDescent="0.35">
      <c r="A39" s="64" t="s">
        <v>49</v>
      </c>
      <c r="B39" s="75">
        <f>B38-C38</f>
        <v>2.2750000000000006E-2</v>
      </c>
      <c r="C39" s="75"/>
      <c r="D39" s="75">
        <f>D38-E38</f>
        <v>2.7500000000000004E-2</v>
      </c>
      <c r="E39" s="75"/>
      <c r="F39" s="76">
        <f>F38-G38</f>
        <v>0.1046</v>
      </c>
      <c r="G39" s="76"/>
      <c r="H39" s="75">
        <f>H38-I38</f>
        <v>2.0049999999999985E-2</v>
      </c>
      <c r="I39" s="75"/>
      <c r="J39" s="76">
        <f>J38-K38</f>
        <v>5.1008333333333322E-2</v>
      </c>
      <c r="K39" s="76"/>
    </row>
    <row r="40" spans="1:11" ht="30.75" thickBot="1" x14ac:dyDescent="0.35">
      <c r="A40" s="64" t="s">
        <v>50</v>
      </c>
      <c r="B40" s="77">
        <f>B37-C37</f>
        <v>5460</v>
      </c>
      <c r="C40" s="78"/>
      <c r="D40" s="77">
        <f>D37-E37</f>
        <v>6600</v>
      </c>
      <c r="E40" s="78"/>
      <c r="F40" s="77">
        <f>F37-G37</f>
        <v>62760</v>
      </c>
      <c r="G40" s="78"/>
      <c r="H40" s="77">
        <f>H37-I37</f>
        <v>38496</v>
      </c>
      <c r="I40" s="78"/>
      <c r="J40" s="77">
        <f>J37-K37</f>
        <v>97936</v>
      </c>
      <c r="K40" s="78"/>
    </row>
    <row r="41" spans="1:11" x14ac:dyDescent="0.3">
      <c r="A41" s="62"/>
      <c r="B41" s="63"/>
      <c r="C41" s="63"/>
      <c r="D41" s="63"/>
      <c r="E41" s="63"/>
      <c r="F41" s="63"/>
      <c r="G41" s="63"/>
      <c r="H41" s="63"/>
      <c r="I41" s="63"/>
      <c r="J41" s="63"/>
      <c r="K41" s="63"/>
    </row>
    <row r="42" spans="1:11" x14ac:dyDescent="0.3">
      <c r="H42" s="2"/>
      <c r="I42" s="2"/>
    </row>
    <row r="43" spans="1:11" x14ac:dyDescent="0.3">
      <c r="A43" s="4" t="s">
        <v>24</v>
      </c>
      <c r="B43" s="4" t="s">
        <v>31</v>
      </c>
    </row>
    <row r="44" spans="1:11" x14ac:dyDescent="0.3">
      <c r="A44" s="3">
        <f>36*43967</f>
        <v>1582812</v>
      </c>
      <c r="B44" s="3">
        <f>48*40324</f>
        <v>1935552</v>
      </c>
      <c r="D44" s="46"/>
    </row>
    <row r="45" spans="1:11" x14ac:dyDescent="0.3">
      <c r="C45" s="46"/>
    </row>
    <row r="46" spans="1:11" x14ac:dyDescent="0.3">
      <c r="A46" s="58" t="s">
        <v>42</v>
      </c>
      <c r="B46" s="54">
        <v>2024</v>
      </c>
      <c r="C46" s="54">
        <v>2023</v>
      </c>
      <c r="D46" s="54">
        <v>2024</v>
      </c>
      <c r="E46" s="54">
        <v>2023</v>
      </c>
      <c r="F46" s="54">
        <v>2024</v>
      </c>
      <c r="G46" s="54">
        <v>2023</v>
      </c>
      <c r="H46" s="54">
        <v>2024</v>
      </c>
      <c r="I46" s="54">
        <v>2023</v>
      </c>
      <c r="J46" s="54">
        <v>2024</v>
      </c>
      <c r="K46" s="54">
        <v>2023</v>
      </c>
    </row>
    <row r="47" spans="1:11" x14ac:dyDescent="0.3">
      <c r="B47" s="47" t="s">
        <v>20</v>
      </c>
      <c r="C47" s="47" t="s">
        <v>34</v>
      </c>
      <c r="D47" s="47" t="s">
        <v>20</v>
      </c>
      <c r="E47" s="47" t="s">
        <v>39</v>
      </c>
      <c r="G47" s="47" t="s">
        <v>39</v>
      </c>
      <c r="H47" s="47" t="s">
        <v>37</v>
      </c>
      <c r="I47" s="47" t="s">
        <v>36</v>
      </c>
      <c r="J47" s="47" t="s">
        <v>37</v>
      </c>
      <c r="K47" s="47" t="s">
        <v>36</v>
      </c>
    </row>
    <row r="48" spans="1:11" x14ac:dyDescent="0.3">
      <c r="B48" s="47" t="s">
        <v>35</v>
      </c>
      <c r="C48" s="48" t="s">
        <v>20</v>
      </c>
      <c r="D48" s="47" t="s">
        <v>35</v>
      </c>
      <c r="E48" s="48" t="s">
        <v>20</v>
      </c>
      <c r="G48" s="47" t="s">
        <v>41</v>
      </c>
      <c r="H48" s="47" t="s">
        <v>35</v>
      </c>
      <c r="I48" s="48" t="s">
        <v>20</v>
      </c>
      <c r="J48" s="55" t="s">
        <v>20</v>
      </c>
      <c r="K48" s="47" t="s">
        <v>39</v>
      </c>
    </row>
    <row r="49" spans="1:11" x14ac:dyDescent="0.3">
      <c r="B49" s="47"/>
      <c r="C49" s="47"/>
      <c r="D49" s="47"/>
      <c r="E49" s="47"/>
      <c r="F49" s="47" t="s">
        <v>35</v>
      </c>
      <c r="G49" s="48" t="s">
        <v>20</v>
      </c>
      <c r="K49" s="47" t="s">
        <v>43</v>
      </c>
    </row>
    <row r="50" spans="1:11" x14ac:dyDescent="0.3">
      <c r="C50" s="46">
        <f>4020+0.6%*C4-B40</f>
        <v>0</v>
      </c>
      <c r="J50" s="47" t="s">
        <v>35</v>
      </c>
      <c r="K50" s="48" t="s">
        <v>20</v>
      </c>
    </row>
    <row r="52" spans="1:11" x14ac:dyDescent="0.3">
      <c r="A52" s="58" t="s">
        <v>51</v>
      </c>
      <c r="B52" s="74" t="s">
        <v>52</v>
      </c>
      <c r="C52" s="74"/>
      <c r="D52" s="74"/>
      <c r="E52" s="74"/>
      <c r="F52" s="74"/>
      <c r="G52" s="74"/>
      <c r="H52" s="74"/>
      <c r="I52" s="74"/>
    </row>
    <row r="53" spans="1:11" x14ac:dyDescent="0.3">
      <c r="B53" s="74" t="s">
        <v>53</v>
      </c>
      <c r="C53" s="74"/>
      <c r="D53" s="74"/>
      <c r="E53" s="74"/>
      <c r="F53" s="74"/>
      <c r="G53" s="74"/>
      <c r="H53" s="74"/>
      <c r="I53" s="74"/>
    </row>
    <row r="54" spans="1:11" x14ac:dyDescent="0.3">
      <c r="B54" s="74" t="s">
        <v>54</v>
      </c>
      <c r="C54" s="74"/>
      <c r="D54" s="74"/>
      <c r="E54" s="74"/>
      <c r="F54" s="74"/>
      <c r="G54" s="74"/>
      <c r="H54" s="74"/>
      <c r="I54" s="74"/>
    </row>
    <row r="55" spans="1:11" x14ac:dyDescent="0.3">
      <c r="B55" s="74" t="s">
        <v>55</v>
      </c>
      <c r="C55" s="74"/>
      <c r="D55" s="74"/>
      <c r="E55" s="74"/>
      <c r="F55" s="74"/>
      <c r="G55" s="74"/>
      <c r="H55" s="74"/>
      <c r="I55" s="74"/>
    </row>
    <row r="56" spans="1:11" x14ac:dyDescent="0.3">
      <c r="B56" s="74" t="s">
        <v>56</v>
      </c>
      <c r="C56" s="74"/>
      <c r="D56" s="74"/>
      <c r="E56" s="74"/>
      <c r="F56" s="74"/>
      <c r="G56" s="74"/>
      <c r="H56" s="74"/>
      <c r="I56" s="74"/>
    </row>
  </sheetData>
  <mergeCells count="15">
    <mergeCell ref="B40:C40"/>
    <mergeCell ref="D40:E40"/>
    <mergeCell ref="F40:G40"/>
    <mergeCell ref="H40:I40"/>
    <mergeCell ref="J40:K40"/>
    <mergeCell ref="B39:C39"/>
    <mergeCell ref="D39:E39"/>
    <mergeCell ref="F39:G39"/>
    <mergeCell ref="H39:I39"/>
    <mergeCell ref="J39:K39"/>
    <mergeCell ref="B52:I52"/>
    <mergeCell ref="B53:I53"/>
    <mergeCell ref="B54:I54"/>
    <mergeCell ref="B55:I55"/>
    <mergeCell ref="B56:I5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1"/>
  <sheetViews>
    <sheetView workbookViewId="0"/>
  </sheetViews>
  <sheetFormatPr defaultColWidth="9.140625" defaultRowHeight="15" x14ac:dyDescent="0.3"/>
  <cols>
    <col min="1" max="1" width="31.140625" style="1" bestFit="1" customWidth="1"/>
    <col min="2" max="13" width="21.7109375" style="1" bestFit="1" customWidth="1"/>
    <col min="14" max="16384" width="9.140625" style="1"/>
  </cols>
  <sheetData>
    <row r="1" spans="1:13" ht="18.75" x14ac:dyDescent="0.3">
      <c r="A1" s="34"/>
      <c r="B1" s="5">
        <v>2024</v>
      </c>
      <c r="C1" s="6">
        <v>2023</v>
      </c>
      <c r="D1" s="5">
        <v>2024</v>
      </c>
      <c r="E1" s="6">
        <v>2023</v>
      </c>
      <c r="F1" s="5">
        <v>2024</v>
      </c>
      <c r="G1" s="6">
        <v>2023</v>
      </c>
      <c r="H1" s="5">
        <v>2024</v>
      </c>
      <c r="I1" s="6">
        <v>2023</v>
      </c>
      <c r="J1" s="5">
        <v>2024</v>
      </c>
      <c r="K1" s="6">
        <v>2023</v>
      </c>
      <c r="L1" s="5">
        <v>2024</v>
      </c>
      <c r="M1" s="6">
        <v>2023</v>
      </c>
    </row>
    <row r="2" spans="1:13" s="53" customFormat="1" ht="45" x14ac:dyDescent="0.2">
      <c r="A2" s="49"/>
      <c r="B2" s="72" t="s">
        <v>44</v>
      </c>
      <c r="C2" s="73" t="s">
        <v>44</v>
      </c>
      <c r="D2" s="72" t="s">
        <v>58</v>
      </c>
      <c r="E2" s="73" t="s">
        <v>58</v>
      </c>
      <c r="F2" s="72" t="s">
        <v>58</v>
      </c>
      <c r="G2" s="73" t="s">
        <v>58</v>
      </c>
      <c r="H2" s="72" t="s">
        <v>58</v>
      </c>
      <c r="I2" s="73" t="s">
        <v>58</v>
      </c>
      <c r="J2" s="72" t="s">
        <v>62</v>
      </c>
      <c r="K2" s="73" t="s">
        <v>62</v>
      </c>
      <c r="L2" s="72" t="s">
        <v>62</v>
      </c>
      <c r="M2" s="73" t="s">
        <v>62</v>
      </c>
    </row>
    <row r="3" spans="1:13" x14ac:dyDescent="0.3">
      <c r="A3" s="35" t="s">
        <v>0</v>
      </c>
      <c r="B3" s="7">
        <v>58000</v>
      </c>
      <c r="C3" s="8">
        <v>58000</v>
      </c>
      <c r="D3" s="7">
        <v>60000</v>
      </c>
      <c r="E3" s="8">
        <v>60000</v>
      </c>
      <c r="F3" s="7">
        <v>140000</v>
      </c>
      <c r="G3" s="8">
        <v>140000</v>
      </c>
      <c r="H3" s="7">
        <v>300000</v>
      </c>
      <c r="I3" s="8">
        <v>300000</v>
      </c>
      <c r="J3" s="7">
        <v>140000</v>
      </c>
      <c r="K3" s="8">
        <v>140000</v>
      </c>
      <c r="L3" s="7">
        <v>300000</v>
      </c>
      <c r="M3" s="8">
        <v>300000</v>
      </c>
    </row>
    <row r="4" spans="1:13" x14ac:dyDescent="0.3">
      <c r="A4" s="35" t="s">
        <v>17</v>
      </c>
      <c r="B4" s="9">
        <f t="shared" ref="B4:I4" si="0">12*B3</f>
        <v>696000</v>
      </c>
      <c r="C4" s="10">
        <f>12*C3</f>
        <v>696000</v>
      </c>
      <c r="D4" s="9">
        <f t="shared" si="0"/>
        <v>720000</v>
      </c>
      <c r="E4" s="10">
        <f t="shared" si="0"/>
        <v>720000</v>
      </c>
      <c r="F4" s="9">
        <f t="shared" si="0"/>
        <v>1680000</v>
      </c>
      <c r="G4" s="10">
        <f t="shared" si="0"/>
        <v>1680000</v>
      </c>
      <c r="H4" s="9">
        <f t="shared" si="0"/>
        <v>3600000</v>
      </c>
      <c r="I4" s="10">
        <f t="shared" si="0"/>
        <v>3600000</v>
      </c>
      <c r="J4" s="9">
        <f t="shared" ref="J4:M4" si="1">12*J3</f>
        <v>1680000</v>
      </c>
      <c r="K4" s="10">
        <f t="shared" si="1"/>
        <v>1680000</v>
      </c>
      <c r="L4" s="9">
        <f t="shared" si="1"/>
        <v>3600000</v>
      </c>
      <c r="M4" s="10">
        <f t="shared" si="1"/>
        <v>3600000</v>
      </c>
    </row>
    <row r="5" spans="1:13" x14ac:dyDescent="0.3">
      <c r="A5" s="36" t="s">
        <v>4</v>
      </c>
      <c r="B5" s="11"/>
      <c r="C5" s="12"/>
      <c r="D5" s="11"/>
      <c r="E5" s="12"/>
      <c r="F5" s="11"/>
      <c r="G5" s="12"/>
      <c r="H5" s="11"/>
      <c r="I5" s="12"/>
      <c r="J5" s="11"/>
      <c r="K5" s="12"/>
      <c r="L5" s="11"/>
      <c r="M5" s="12"/>
    </row>
    <row r="6" spans="1:13" x14ac:dyDescent="0.3">
      <c r="A6" s="37" t="s">
        <v>2</v>
      </c>
      <c r="B6" s="13">
        <f>IF(B4&gt;2000000,2000000*0.6,0.6*B4)</f>
        <v>417600</v>
      </c>
      <c r="C6" s="14">
        <f>IF(C4&gt;2000000,2000000*0.6,0.6*C4)</f>
        <v>417600</v>
      </c>
      <c r="D6" s="13">
        <f t="shared" ref="D6:I6" si="2">IF(D4&gt;2000000,2000000*0.6,0.6*D4)</f>
        <v>432000</v>
      </c>
      <c r="E6" s="14">
        <f>IF(E4&gt;2000000,2000000*0.6,0.6*E4)</f>
        <v>432000</v>
      </c>
      <c r="F6" s="13">
        <f>IF(F4&gt;2000000,2000000*0.6,0.6*F4)</f>
        <v>1008000</v>
      </c>
      <c r="G6" s="14">
        <f t="shared" si="2"/>
        <v>1008000</v>
      </c>
      <c r="H6" s="13">
        <f t="shared" si="2"/>
        <v>1200000</v>
      </c>
      <c r="I6" s="14">
        <f t="shared" si="2"/>
        <v>1200000</v>
      </c>
      <c r="J6" s="13">
        <f>IF(J4&gt;2000000,2000000*0.4,0.4*J4)</f>
        <v>672000</v>
      </c>
      <c r="K6" s="14">
        <f>IF(K4&gt;2000000,2000000*0.4,0.4*K4)</f>
        <v>672000</v>
      </c>
      <c r="L6" s="13">
        <f>IF(L4&gt;2000000,2000000*0.4,0.4*L4)</f>
        <v>800000</v>
      </c>
      <c r="M6" s="14">
        <f>IF(M4&gt;2000000,2000000*0.4,0.4*M4)</f>
        <v>800000</v>
      </c>
    </row>
    <row r="7" spans="1:13" x14ac:dyDescent="0.3">
      <c r="A7" s="37" t="s">
        <v>1</v>
      </c>
      <c r="B7" s="13">
        <f>B4-B6</f>
        <v>278400</v>
      </c>
      <c r="C7" s="14">
        <f>C4-C6</f>
        <v>278400</v>
      </c>
      <c r="D7" s="13">
        <f t="shared" ref="D7:I7" si="3">D4-D6</f>
        <v>288000</v>
      </c>
      <c r="E7" s="14">
        <f>E4-E6</f>
        <v>288000</v>
      </c>
      <c r="F7" s="13">
        <f t="shared" si="3"/>
        <v>672000</v>
      </c>
      <c r="G7" s="14">
        <f t="shared" si="3"/>
        <v>672000</v>
      </c>
      <c r="H7" s="13">
        <f>H4-H6</f>
        <v>2400000</v>
      </c>
      <c r="I7" s="14">
        <f t="shared" si="3"/>
        <v>2400000</v>
      </c>
      <c r="J7" s="13">
        <f>J4-J6</f>
        <v>1008000</v>
      </c>
      <c r="K7" s="14">
        <f t="shared" ref="K7" si="4">K4-K6</f>
        <v>1008000</v>
      </c>
      <c r="L7" s="13">
        <f>L4-L6</f>
        <v>2800000</v>
      </c>
      <c r="M7" s="14">
        <f t="shared" ref="M7" si="5">M4-M6</f>
        <v>2800000</v>
      </c>
    </row>
    <row r="8" spans="1:13" x14ac:dyDescent="0.3">
      <c r="A8" s="37" t="s">
        <v>3</v>
      </c>
      <c r="B8" s="13">
        <f>IF(B7&gt;$A$43,(B7-$A$43)*0.23+$A$43*0.15,0.15*B7)</f>
        <v>41760</v>
      </c>
      <c r="C8" s="14">
        <f>IF(C7&gt;$B$43,(C7-$B$43)*0.23+$B$43*0.15,0.15*C7)</f>
        <v>41760</v>
      </c>
      <c r="D8" s="13">
        <f>IF(D7&gt;$A$43,(D7-$A$43)*0.23+$A$43*0.15,0.15*D7)</f>
        <v>43200</v>
      </c>
      <c r="E8" s="14">
        <f>IF(E7&gt;$B$43,(E7-$B$43)*0.23+$B$43*0.15,0.15*E7)</f>
        <v>43200</v>
      </c>
      <c r="F8" s="13">
        <f>IF(F7&gt;$A$43,(F7-$A$43)*0.23+$A$43*0.15,0.15*F7)</f>
        <v>100800</v>
      </c>
      <c r="G8" s="14">
        <f>IF(G7&gt;$B$43,(G7-$B$43)*0.23+$B$43*0.15,0.15*G7)</f>
        <v>100800</v>
      </c>
      <c r="H8" s="13">
        <f>IF(H7&gt;$A$43,(H7-$A$43)*0.23+$A$43*0.15,0.15*H7)</f>
        <v>425375.04000000004</v>
      </c>
      <c r="I8" s="14">
        <f>CEILING(IF(I7&gt;$B$43,(I7-$B$43)*0.23+$B$43*0.15,0.15*I7),1)</f>
        <v>397156</v>
      </c>
      <c r="J8" s="13">
        <f>IF(J7&gt;$A$43,(J7-$A$43)*0.23+$A$43*0.15,0.15*J7)</f>
        <v>151200</v>
      </c>
      <c r="K8" s="14">
        <f>IF(K7&gt;$B$43,(K7-$B$43)*0.23+$B$43*0.15,0.15*K7)</f>
        <v>151200</v>
      </c>
      <c r="L8" s="13">
        <f>IF(L7&gt;$A$43,(L7-$A$43)*0.23+$A$43*0.15,0.15*L7)</f>
        <v>517375.04</v>
      </c>
      <c r="M8" s="14">
        <f>CEILING(IF(M7&gt;$B$43,(M7-$B$43)*0.23+$B$43*0.15,0.15*M7),1)</f>
        <v>489156</v>
      </c>
    </row>
    <row r="9" spans="1:13" x14ac:dyDescent="0.3">
      <c r="A9" s="37" t="s">
        <v>15</v>
      </c>
      <c r="B9" s="13">
        <v>30840</v>
      </c>
      <c r="C9" s="14">
        <v>30840</v>
      </c>
      <c r="D9" s="13">
        <v>30840</v>
      </c>
      <c r="E9" s="14">
        <v>30840</v>
      </c>
      <c r="F9" s="13">
        <v>30840</v>
      </c>
      <c r="G9" s="14">
        <v>30840</v>
      </c>
      <c r="H9" s="13">
        <v>30840</v>
      </c>
      <c r="I9" s="14">
        <v>30840</v>
      </c>
      <c r="J9" s="13">
        <v>30840</v>
      </c>
      <c r="K9" s="14">
        <v>30840</v>
      </c>
      <c r="L9" s="13">
        <v>30840</v>
      </c>
      <c r="M9" s="14">
        <v>30840</v>
      </c>
    </row>
    <row r="10" spans="1:13" hidden="1" x14ac:dyDescent="0.3">
      <c r="A10" s="37" t="s">
        <v>30</v>
      </c>
      <c r="B10" s="13">
        <v>0</v>
      </c>
      <c r="C10" s="14">
        <v>0</v>
      </c>
      <c r="D10" s="13">
        <v>0</v>
      </c>
      <c r="E10" s="14">
        <v>0</v>
      </c>
      <c r="F10" s="13">
        <v>0</v>
      </c>
      <c r="G10" s="14">
        <v>0</v>
      </c>
      <c r="H10" s="13">
        <v>0</v>
      </c>
      <c r="I10" s="14">
        <v>0</v>
      </c>
      <c r="J10" s="13">
        <v>0</v>
      </c>
      <c r="K10" s="14">
        <v>0</v>
      </c>
      <c r="L10" s="13">
        <v>0</v>
      </c>
      <c r="M10" s="14">
        <v>0</v>
      </c>
    </row>
    <row r="11" spans="1:13" x14ac:dyDescent="0.3">
      <c r="A11" s="37" t="s">
        <v>29</v>
      </c>
      <c r="B11" s="13">
        <v>0</v>
      </c>
      <c r="C11" s="14">
        <v>0</v>
      </c>
      <c r="D11" s="13">
        <v>0</v>
      </c>
      <c r="E11" s="14">
        <v>24840</v>
      </c>
      <c r="F11" s="13">
        <v>0</v>
      </c>
      <c r="G11" s="14">
        <v>24840</v>
      </c>
      <c r="H11" s="13">
        <v>0</v>
      </c>
      <c r="I11" s="14">
        <v>24840</v>
      </c>
      <c r="J11" s="13">
        <v>0</v>
      </c>
      <c r="K11" s="14">
        <v>24840</v>
      </c>
      <c r="L11" s="13">
        <v>0</v>
      </c>
      <c r="M11" s="14">
        <v>24840</v>
      </c>
    </row>
    <row r="12" spans="1:13" x14ac:dyDescent="0.3">
      <c r="A12" s="37" t="s">
        <v>45</v>
      </c>
      <c r="B12" s="13">
        <v>0</v>
      </c>
      <c r="C12" s="14">
        <v>0</v>
      </c>
      <c r="D12" s="13">
        <v>0</v>
      </c>
      <c r="E12" s="14">
        <f>17300*2</f>
        <v>34600</v>
      </c>
      <c r="F12" s="13">
        <v>0</v>
      </c>
      <c r="G12" s="14">
        <f>17300*2</f>
        <v>34600</v>
      </c>
      <c r="H12" s="13">
        <v>0</v>
      </c>
      <c r="I12" s="14">
        <f>17300*2</f>
        <v>34600</v>
      </c>
      <c r="J12" s="13">
        <v>0</v>
      </c>
      <c r="K12" s="14">
        <f>17300*2</f>
        <v>34600</v>
      </c>
      <c r="L12" s="13">
        <v>0</v>
      </c>
      <c r="M12" s="14">
        <f>17300*2</f>
        <v>34600</v>
      </c>
    </row>
    <row r="13" spans="1:13" x14ac:dyDescent="0.3">
      <c r="A13" s="39" t="s">
        <v>25</v>
      </c>
      <c r="B13" s="17">
        <f>IF((B8-B9)&lt;0,0,(B8-B9))</f>
        <v>10920</v>
      </c>
      <c r="C13" s="18">
        <f>IF((C8-C9-C11-C10)&lt;0,0,(C8-C9-C11-C10))</f>
        <v>10920</v>
      </c>
      <c r="D13" s="17">
        <f>IF((D8-D9)&lt;0,0,(D8-D9))</f>
        <v>12360</v>
      </c>
      <c r="E13" s="18">
        <f>IF((E8-E9-E11-E10-E12)&lt;0,0,(E8-E9-E11-E10-E12))</f>
        <v>0</v>
      </c>
      <c r="F13" s="17">
        <f>IF((F8-F9)&lt;0,0,(F8-F9))</f>
        <v>69960</v>
      </c>
      <c r="G13" s="18">
        <f>IF((G8-G9-G11-G10-G12)&lt;0,0,(G8-G9-G11-G10-G12))</f>
        <v>10520</v>
      </c>
      <c r="H13" s="17">
        <f>IF((H8-H9)&lt;0,0,(H8-H9))</f>
        <v>394535.04000000004</v>
      </c>
      <c r="I13" s="18">
        <f>IF((I8-I9-I11-I10-I12)&lt;0,0,(I8-I9-I11-I10-I12))</f>
        <v>306876</v>
      </c>
      <c r="J13" s="17">
        <f>IF((J8-J9)&lt;0,0,(J8-J9))</f>
        <v>120360</v>
      </c>
      <c r="K13" s="18">
        <f>IF((K8-K9-K11-K10-K12)&lt;0,0,(K8-K9-K11-K10-K12))</f>
        <v>60920</v>
      </c>
      <c r="L13" s="17">
        <f>IF((L8-L9)&lt;0,0,(L8-L9))</f>
        <v>486535.04</v>
      </c>
      <c r="M13" s="18">
        <f>IF((M8-M9-M11-M10-M12)&lt;0,0,(M8-M9-M11-M10-M12))</f>
        <v>398876</v>
      </c>
    </row>
    <row r="14" spans="1:13" x14ac:dyDescent="0.3">
      <c r="A14" s="37" t="s">
        <v>16</v>
      </c>
      <c r="B14" s="13">
        <v>0</v>
      </c>
      <c r="C14" s="14">
        <v>0</v>
      </c>
      <c r="D14" s="13">
        <f t="shared" ref="D14:M14" si="6">15204+22320</f>
        <v>37524</v>
      </c>
      <c r="E14" s="14">
        <f t="shared" si="6"/>
        <v>37524</v>
      </c>
      <c r="F14" s="13">
        <f t="shared" si="6"/>
        <v>37524</v>
      </c>
      <c r="G14" s="14">
        <f t="shared" si="6"/>
        <v>37524</v>
      </c>
      <c r="H14" s="13">
        <f t="shared" si="6"/>
        <v>37524</v>
      </c>
      <c r="I14" s="14">
        <f t="shared" si="6"/>
        <v>37524</v>
      </c>
      <c r="J14" s="13">
        <f>15204+22320</f>
        <v>37524</v>
      </c>
      <c r="K14" s="14">
        <f t="shared" si="6"/>
        <v>37524</v>
      </c>
      <c r="L14" s="13">
        <f t="shared" si="6"/>
        <v>37524</v>
      </c>
      <c r="M14" s="14">
        <f t="shared" si="6"/>
        <v>37524</v>
      </c>
    </row>
    <row r="15" spans="1:13" ht="30" x14ac:dyDescent="0.3">
      <c r="A15" s="40" t="s">
        <v>19</v>
      </c>
      <c r="B15" s="19">
        <f t="shared" ref="B15:I15" si="7">B13-B14</f>
        <v>10920</v>
      </c>
      <c r="C15" s="20">
        <f t="shared" si="7"/>
        <v>10920</v>
      </c>
      <c r="D15" s="56">
        <f t="shared" si="7"/>
        <v>-25164</v>
      </c>
      <c r="E15" s="57">
        <f t="shared" si="7"/>
        <v>-37524</v>
      </c>
      <c r="F15" s="19">
        <f t="shared" si="7"/>
        <v>32436</v>
      </c>
      <c r="G15" s="57">
        <f t="shared" si="7"/>
        <v>-27004</v>
      </c>
      <c r="H15" s="19">
        <f t="shared" si="7"/>
        <v>357011.04000000004</v>
      </c>
      <c r="I15" s="20">
        <f t="shared" si="7"/>
        <v>269352</v>
      </c>
      <c r="J15" s="19">
        <f>J13-J14</f>
        <v>82836</v>
      </c>
      <c r="K15" s="20">
        <f t="shared" ref="K15:M15" si="8">K13-K14</f>
        <v>23396</v>
      </c>
      <c r="L15" s="19">
        <f t="shared" si="8"/>
        <v>449011.04</v>
      </c>
      <c r="M15" s="20">
        <f t="shared" si="8"/>
        <v>361352</v>
      </c>
    </row>
    <row r="16" spans="1:13" x14ac:dyDescent="0.3">
      <c r="A16" s="36" t="s">
        <v>5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</row>
    <row r="17" spans="1:13" x14ac:dyDescent="0.3">
      <c r="A17" s="37" t="s">
        <v>6</v>
      </c>
      <c r="B17" s="13">
        <f>0.55*B7</f>
        <v>153120</v>
      </c>
      <c r="C17" s="14">
        <f>C7*0.5</f>
        <v>139200</v>
      </c>
      <c r="D17" s="13">
        <f>0.55*D7</f>
        <v>158400</v>
      </c>
      <c r="E17" s="14">
        <f>E7*0.5</f>
        <v>144000</v>
      </c>
      <c r="F17" s="13">
        <f>0.55*F7</f>
        <v>369600.00000000006</v>
      </c>
      <c r="G17" s="14">
        <f>G7*0.5</f>
        <v>336000</v>
      </c>
      <c r="H17" s="13">
        <f>0.55*H7</f>
        <v>1320000</v>
      </c>
      <c r="I17" s="14">
        <f>I7*0.5</f>
        <v>1200000</v>
      </c>
      <c r="J17" s="13">
        <f>0.55*J7</f>
        <v>554400</v>
      </c>
      <c r="K17" s="14">
        <f>K7*0.5</f>
        <v>504000</v>
      </c>
      <c r="L17" s="13">
        <f>0.55*L7</f>
        <v>1540000.0000000002</v>
      </c>
      <c r="M17" s="14">
        <f>M7*0.5</f>
        <v>1400000</v>
      </c>
    </row>
    <row r="18" spans="1:13" x14ac:dyDescent="0.3">
      <c r="A18" s="37" t="s">
        <v>26</v>
      </c>
      <c r="B18" s="13">
        <f>(43967*0.3)*12</f>
        <v>158281.20000000001</v>
      </c>
      <c r="C18" s="14">
        <f>10081*12</f>
        <v>120972</v>
      </c>
      <c r="D18" s="13">
        <f>(43967*0.3)*12</f>
        <v>158281.20000000001</v>
      </c>
      <c r="E18" s="14">
        <f>10081*12</f>
        <v>120972</v>
      </c>
      <c r="F18" s="13">
        <f>(43967*0.3)*12</f>
        <v>158281.20000000001</v>
      </c>
      <c r="G18" s="14">
        <f t="shared" ref="G18" si="9">10081*12</f>
        <v>120972</v>
      </c>
      <c r="H18" s="13">
        <f>(43967*0.3)*12</f>
        <v>158281.20000000001</v>
      </c>
      <c r="I18" s="14">
        <f t="shared" ref="I18" si="10">10081*12</f>
        <v>120972</v>
      </c>
      <c r="J18" s="13">
        <f>(43967*0.3)*12</f>
        <v>158281.20000000001</v>
      </c>
      <c r="K18" s="14">
        <f t="shared" ref="K18" si="11">10081*12</f>
        <v>120972</v>
      </c>
      <c r="L18" s="13">
        <f>(43967*0.3)*12</f>
        <v>158281.20000000001</v>
      </c>
      <c r="M18" s="14">
        <f t="shared" ref="M18" si="12">10081*12</f>
        <v>120972</v>
      </c>
    </row>
    <row r="19" spans="1:13" x14ac:dyDescent="0.3">
      <c r="A19" s="38" t="s">
        <v>27</v>
      </c>
      <c r="B19" s="59">
        <f>(43967*0.35)*12</f>
        <v>184661.4</v>
      </c>
      <c r="C19" s="60" t="s">
        <v>20</v>
      </c>
      <c r="D19" s="59">
        <f>(43967*0.35)*12</f>
        <v>184661.4</v>
      </c>
      <c r="E19" s="60" t="s">
        <v>20</v>
      </c>
      <c r="F19" s="59">
        <f>(43967*0.35)*12</f>
        <v>184661.4</v>
      </c>
      <c r="G19" s="60" t="s">
        <v>20</v>
      </c>
      <c r="H19" s="59">
        <f>(43967*0.35)*12</f>
        <v>184661.4</v>
      </c>
      <c r="I19" s="60" t="s">
        <v>20</v>
      </c>
      <c r="J19" s="59">
        <f>(43967*0.35)*12</f>
        <v>184661.4</v>
      </c>
      <c r="K19" s="60" t="s">
        <v>20</v>
      </c>
      <c r="L19" s="59">
        <f>(43967*0.35)*12</f>
        <v>184661.4</v>
      </c>
      <c r="M19" s="60" t="s">
        <v>20</v>
      </c>
    </row>
    <row r="20" spans="1:13" x14ac:dyDescent="0.3">
      <c r="A20" s="38" t="s">
        <v>28</v>
      </c>
      <c r="B20" s="59">
        <f>(43967*0.4)*12</f>
        <v>211041.59999999998</v>
      </c>
      <c r="C20" s="60" t="s">
        <v>20</v>
      </c>
      <c r="D20" s="59">
        <f>(43967*0.4)*12</f>
        <v>211041.59999999998</v>
      </c>
      <c r="E20" s="60" t="s">
        <v>20</v>
      </c>
      <c r="F20" s="59">
        <f>(43967*0.4)*12</f>
        <v>211041.59999999998</v>
      </c>
      <c r="G20" s="60" t="s">
        <v>20</v>
      </c>
      <c r="H20" s="59">
        <f>(43967*0.4)*12</f>
        <v>211041.59999999998</v>
      </c>
      <c r="I20" s="60" t="s">
        <v>20</v>
      </c>
      <c r="J20" s="59">
        <f>(43967*0.4)*12</f>
        <v>211041.59999999998</v>
      </c>
      <c r="K20" s="60" t="s">
        <v>20</v>
      </c>
      <c r="L20" s="59">
        <f>(43967*0.4)*12</f>
        <v>211041.59999999998</v>
      </c>
      <c r="M20" s="60" t="s">
        <v>20</v>
      </c>
    </row>
    <row r="21" spans="1:13" x14ac:dyDescent="0.3">
      <c r="A21" s="37" t="s">
        <v>8</v>
      </c>
      <c r="B21" s="13">
        <f>IF(B18&gt;B17,B18,B17)</f>
        <v>158281.20000000001</v>
      </c>
      <c r="C21" s="14">
        <f>IF(C18&gt;C17,C18,C17)</f>
        <v>139200</v>
      </c>
      <c r="D21" s="13">
        <f t="shared" ref="D21" si="13">IF(D18&gt;D17,D18,D17)</f>
        <v>158400</v>
      </c>
      <c r="E21" s="14">
        <f>IF(E18&gt;E17,E18,E17)</f>
        <v>144000</v>
      </c>
      <c r="F21" s="13">
        <f>IF(F18&gt;F17,F18,F17)</f>
        <v>369600.00000000006</v>
      </c>
      <c r="G21" s="14">
        <f t="shared" ref="G21" si="14">IF(G18&gt;G17,G18,G17)</f>
        <v>336000</v>
      </c>
      <c r="H21" s="13">
        <f>IF(H18&gt;H17,H18,H17)</f>
        <v>1320000</v>
      </c>
      <c r="I21" s="14">
        <f>IF(I18&gt;I17,I18,I17)</f>
        <v>1200000</v>
      </c>
      <c r="J21" s="13">
        <f>IF(J18&gt;J17,J18,J17)</f>
        <v>554400</v>
      </c>
      <c r="K21" s="14">
        <f t="shared" ref="K21" si="15">IF(K18&gt;K17,K18,K17)</f>
        <v>504000</v>
      </c>
      <c r="L21" s="13">
        <f>IF(L18&gt;L17,L18,L17)</f>
        <v>1540000.0000000002</v>
      </c>
      <c r="M21" s="14">
        <f>IF(M18&gt;M17,M18,M17)</f>
        <v>1400000</v>
      </c>
    </row>
    <row r="22" spans="1:13" x14ac:dyDescent="0.3">
      <c r="A22" s="40" t="s">
        <v>9</v>
      </c>
      <c r="B22" s="25">
        <f t="shared" ref="B22:I22" si="16">CEILING(B21*29.2%,1)</f>
        <v>46219</v>
      </c>
      <c r="C22" s="26">
        <f>CEILING(C21*29.2%,1)</f>
        <v>40647</v>
      </c>
      <c r="D22" s="25">
        <f t="shared" si="16"/>
        <v>46253</v>
      </c>
      <c r="E22" s="26">
        <f>CEILING(E21*29.2%,1)</f>
        <v>42048</v>
      </c>
      <c r="F22" s="25">
        <f>CEILING(F21*29.2%,1)</f>
        <v>107924</v>
      </c>
      <c r="G22" s="26">
        <f>CEILING(G21*29.2%,1)</f>
        <v>98112</v>
      </c>
      <c r="H22" s="25">
        <f t="shared" si="16"/>
        <v>385440</v>
      </c>
      <c r="I22" s="26">
        <f t="shared" si="16"/>
        <v>350400</v>
      </c>
      <c r="J22" s="25">
        <f>CEILING(J21*29.2%,1)</f>
        <v>161885</v>
      </c>
      <c r="K22" s="26">
        <f>CEILING(K21*29.2%,1)</f>
        <v>147168</v>
      </c>
      <c r="L22" s="25">
        <f t="shared" ref="L22:M22" si="17">CEILING(L21*29.2%,1)</f>
        <v>449680</v>
      </c>
      <c r="M22" s="26">
        <f t="shared" si="17"/>
        <v>408800</v>
      </c>
    </row>
    <row r="23" spans="1:13" ht="30" hidden="1" x14ac:dyDescent="0.3">
      <c r="A23" s="40" t="s">
        <v>10</v>
      </c>
      <c r="B23" s="19">
        <f>0</f>
        <v>0</v>
      </c>
      <c r="C23" s="20">
        <f>0</f>
        <v>0</v>
      </c>
      <c r="D23" s="19">
        <f>0</f>
        <v>0</v>
      </c>
      <c r="E23" s="20">
        <f>0</f>
        <v>0</v>
      </c>
      <c r="F23" s="19">
        <f>0</f>
        <v>0</v>
      </c>
      <c r="G23" s="20">
        <f>0</f>
        <v>0</v>
      </c>
      <c r="H23" s="19">
        <f>0</f>
        <v>0</v>
      </c>
      <c r="I23" s="20">
        <f>0</f>
        <v>0</v>
      </c>
      <c r="J23" s="19">
        <f>0</f>
        <v>0</v>
      </c>
      <c r="K23" s="20">
        <f>0</f>
        <v>0</v>
      </c>
      <c r="L23" s="19">
        <f>0</f>
        <v>0</v>
      </c>
      <c r="M23" s="20">
        <f>0</f>
        <v>0</v>
      </c>
    </row>
    <row r="24" spans="1:13" x14ac:dyDescent="0.3">
      <c r="A24" s="36" t="s">
        <v>11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</row>
    <row r="25" spans="1:13" x14ac:dyDescent="0.3">
      <c r="A25" s="37" t="s">
        <v>6</v>
      </c>
      <c r="B25" s="13">
        <f>0.5*B7</f>
        <v>139200</v>
      </c>
      <c r="C25" s="14">
        <f t="shared" ref="C25:I25" si="18">0.5*C7</f>
        <v>139200</v>
      </c>
      <c r="D25" s="13">
        <f t="shared" si="18"/>
        <v>144000</v>
      </c>
      <c r="E25" s="14">
        <f t="shared" si="18"/>
        <v>144000</v>
      </c>
      <c r="F25" s="13">
        <f t="shared" si="18"/>
        <v>336000</v>
      </c>
      <c r="G25" s="14">
        <f t="shared" si="18"/>
        <v>336000</v>
      </c>
      <c r="H25" s="13">
        <f t="shared" si="18"/>
        <v>1200000</v>
      </c>
      <c r="I25" s="14">
        <f t="shared" si="18"/>
        <v>1200000</v>
      </c>
      <c r="J25" s="13">
        <f t="shared" ref="J25:M25" si="19">0.5*J7</f>
        <v>504000</v>
      </c>
      <c r="K25" s="14">
        <f t="shared" si="19"/>
        <v>504000</v>
      </c>
      <c r="L25" s="13">
        <f t="shared" si="19"/>
        <v>1400000</v>
      </c>
      <c r="M25" s="14">
        <f t="shared" si="19"/>
        <v>1400000</v>
      </c>
    </row>
    <row r="26" spans="1:13" x14ac:dyDescent="0.3">
      <c r="A26" s="37" t="s">
        <v>7</v>
      </c>
      <c r="B26" s="13">
        <f>12*21984</f>
        <v>263808</v>
      </c>
      <c r="C26" s="14">
        <f>12*20162</f>
        <v>241944</v>
      </c>
      <c r="D26" s="13">
        <f>12*21984</f>
        <v>263808</v>
      </c>
      <c r="E26" s="14">
        <f>12*20162</f>
        <v>241944</v>
      </c>
      <c r="F26" s="13">
        <f>12*21984</f>
        <v>263808</v>
      </c>
      <c r="G26" s="14">
        <f t="shared" ref="G26:M26" si="20">12*20162</f>
        <v>241944</v>
      </c>
      <c r="H26" s="13">
        <f>12*21984</f>
        <v>263808</v>
      </c>
      <c r="I26" s="14">
        <f t="shared" si="20"/>
        <v>241944</v>
      </c>
      <c r="J26" s="13">
        <f>12*21984</f>
        <v>263808</v>
      </c>
      <c r="K26" s="14">
        <f t="shared" si="20"/>
        <v>241944</v>
      </c>
      <c r="L26" s="13">
        <f>12*21984</f>
        <v>263808</v>
      </c>
      <c r="M26" s="14">
        <f t="shared" si="20"/>
        <v>241944</v>
      </c>
    </row>
    <row r="27" spans="1:13" x14ac:dyDescent="0.3">
      <c r="A27" s="37" t="s">
        <v>8</v>
      </c>
      <c r="B27" s="13">
        <f>IF(B26&gt;B25,B26,B25)</f>
        <v>263808</v>
      </c>
      <c r="C27" s="14">
        <f>IF(C26&gt;C25,C26,C25)</f>
        <v>241944</v>
      </c>
      <c r="D27" s="13">
        <f t="shared" ref="D27:G27" si="21">IF(D26&gt;D25,D26,D25)</f>
        <v>263808</v>
      </c>
      <c r="E27" s="14">
        <f>IF(E26&gt;E25,E26,E25)</f>
        <v>241944</v>
      </c>
      <c r="F27" s="13">
        <f>IF(F26&gt;F25,F26,F25)</f>
        <v>336000</v>
      </c>
      <c r="G27" s="14">
        <f t="shared" si="21"/>
        <v>336000</v>
      </c>
      <c r="H27" s="13">
        <f>IF(H26&gt;H25,H26,H25)</f>
        <v>1200000</v>
      </c>
      <c r="I27" s="14">
        <f>IF(I26&gt;I25,I26,I25)</f>
        <v>1200000</v>
      </c>
      <c r="J27" s="13">
        <f>IF(J26&gt;J25,J26,J25)</f>
        <v>504000</v>
      </c>
      <c r="K27" s="14">
        <f t="shared" ref="K27" si="22">IF(K26&gt;K25,K26,K25)</f>
        <v>504000</v>
      </c>
      <c r="L27" s="13">
        <f>IF(L26&gt;L25,L26,L25)</f>
        <v>1400000</v>
      </c>
      <c r="M27" s="14">
        <f>IF(M26&gt;M25,M26,M25)</f>
        <v>1400000</v>
      </c>
    </row>
    <row r="28" spans="1:13" x14ac:dyDescent="0.3">
      <c r="A28" s="40" t="s">
        <v>9</v>
      </c>
      <c r="B28" s="25">
        <f t="shared" ref="B28:I28" si="23">CEILING(B27*13.5%,1)</f>
        <v>35615</v>
      </c>
      <c r="C28" s="26">
        <f>CEILING(C27*13.5%,1)</f>
        <v>32663</v>
      </c>
      <c r="D28" s="25">
        <f t="shared" si="23"/>
        <v>35615</v>
      </c>
      <c r="E28" s="26">
        <f>CEILING(E27*13.5%,1)</f>
        <v>32663</v>
      </c>
      <c r="F28" s="25">
        <f>CEILING(F27*13.5%,1)</f>
        <v>45360</v>
      </c>
      <c r="G28" s="26">
        <f t="shared" si="23"/>
        <v>45360</v>
      </c>
      <c r="H28" s="25">
        <f t="shared" si="23"/>
        <v>162000</v>
      </c>
      <c r="I28" s="26">
        <f t="shared" si="23"/>
        <v>162000</v>
      </c>
      <c r="J28" s="25">
        <f>CEILING(J27*13.5%,1)</f>
        <v>68040</v>
      </c>
      <c r="K28" s="26">
        <f t="shared" ref="K28:M28" si="24">CEILING(K27*13.5%,1)</f>
        <v>68040</v>
      </c>
      <c r="L28" s="25">
        <f t="shared" si="24"/>
        <v>189000</v>
      </c>
      <c r="M28" s="26">
        <f t="shared" si="24"/>
        <v>189000</v>
      </c>
    </row>
    <row r="29" spans="1:13" ht="30" hidden="1" x14ac:dyDescent="0.3">
      <c r="A29" s="40" t="s">
        <v>10</v>
      </c>
      <c r="B29" s="19">
        <f>0</f>
        <v>0</v>
      </c>
      <c r="C29" s="20">
        <f>0</f>
        <v>0</v>
      </c>
      <c r="D29" s="19">
        <f>0</f>
        <v>0</v>
      </c>
      <c r="E29" s="20">
        <f>0</f>
        <v>0</v>
      </c>
      <c r="F29" s="19">
        <f>0</f>
        <v>0</v>
      </c>
      <c r="G29" s="20">
        <f>0</f>
        <v>0</v>
      </c>
      <c r="H29" s="19">
        <f>0</f>
        <v>0</v>
      </c>
      <c r="I29" s="20">
        <f>0</f>
        <v>0</v>
      </c>
      <c r="J29" s="19">
        <f>0</f>
        <v>0</v>
      </c>
      <c r="K29" s="20">
        <f>0</f>
        <v>0</v>
      </c>
      <c r="L29" s="19">
        <f>0</f>
        <v>0</v>
      </c>
      <c r="M29" s="20">
        <f>0</f>
        <v>0</v>
      </c>
    </row>
    <row r="30" spans="1:13" x14ac:dyDescent="0.3">
      <c r="A30" s="36" t="s">
        <v>12</v>
      </c>
      <c r="B30" s="11"/>
      <c r="C30" s="12"/>
      <c r="D30" s="11"/>
      <c r="E30" s="12"/>
      <c r="F30" s="11"/>
      <c r="G30" s="12"/>
      <c r="H30" s="11"/>
      <c r="I30" s="12"/>
      <c r="J30" s="11"/>
      <c r="K30" s="12"/>
      <c r="L30" s="11"/>
      <c r="M30" s="12"/>
    </row>
    <row r="31" spans="1:13" x14ac:dyDescent="0.3">
      <c r="A31" s="40" t="s">
        <v>14</v>
      </c>
      <c r="B31" s="25">
        <f t="shared" ref="B31:I31" si="25">B4-B15-B22-B28</f>
        <v>603246</v>
      </c>
      <c r="C31" s="26">
        <f t="shared" si="25"/>
        <v>611770</v>
      </c>
      <c r="D31" s="25">
        <f t="shared" si="25"/>
        <v>663296</v>
      </c>
      <c r="E31" s="26">
        <f t="shared" si="25"/>
        <v>682813</v>
      </c>
      <c r="F31" s="25">
        <f t="shared" si="25"/>
        <v>1494280</v>
      </c>
      <c r="G31" s="26">
        <f t="shared" si="25"/>
        <v>1563532</v>
      </c>
      <c r="H31" s="25">
        <f t="shared" si="25"/>
        <v>2695548.96</v>
      </c>
      <c r="I31" s="26">
        <f t="shared" si="25"/>
        <v>2818248</v>
      </c>
      <c r="J31" s="25">
        <f t="shared" ref="J31:M31" si="26">J4-J15-J22-J28</f>
        <v>1367239</v>
      </c>
      <c r="K31" s="26">
        <f t="shared" si="26"/>
        <v>1441396</v>
      </c>
      <c r="L31" s="25">
        <f t="shared" si="26"/>
        <v>2512308.96</v>
      </c>
      <c r="M31" s="26">
        <f t="shared" si="26"/>
        <v>2640848</v>
      </c>
    </row>
    <row r="32" spans="1:13" ht="30" x14ac:dyDescent="0.3">
      <c r="A32" s="41" t="s">
        <v>22</v>
      </c>
      <c r="B32" s="27">
        <f t="shared" ref="B32:I32" si="27">B31/B4</f>
        <v>0.86673275862068966</v>
      </c>
      <c r="C32" s="28">
        <f t="shared" si="27"/>
        <v>0.87897988505747127</v>
      </c>
      <c r="D32" s="27">
        <f t="shared" si="27"/>
        <v>0.92124444444444442</v>
      </c>
      <c r="E32" s="28">
        <f t="shared" si="27"/>
        <v>0.94835138888888892</v>
      </c>
      <c r="F32" s="27">
        <f t="shared" si="27"/>
        <v>0.88945238095238099</v>
      </c>
      <c r="G32" s="28">
        <f t="shared" si="27"/>
        <v>0.93067380952380951</v>
      </c>
      <c r="H32" s="27">
        <f t="shared" si="27"/>
        <v>0.74876359999999997</v>
      </c>
      <c r="I32" s="28">
        <f t="shared" si="27"/>
        <v>0.78284666666666669</v>
      </c>
      <c r="J32" s="27">
        <f t="shared" ref="J32" si="28">J31/J4</f>
        <v>0.81383273809523815</v>
      </c>
      <c r="K32" s="28">
        <f t="shared" ref="K32" si="29">K31/K4</f>
        <v>0.85797380952380953</v>
      </c>
      <c r="L32" s="27">
        <f t="shared" ref="L32" si="30">L31/L4</f>
        <v>0.69786360000000003</v>
      </c>
      <c r="M32" s="28">
        <f t="shared" ref="M32" si="31">M31/M4</f>
        <v>0.73356888888888894</v>
      </c>
    </row>
    <row r="33" spans="1:13" hidden="1" x14ac:dyDescent="0.3">
      <c r="A33" s="36" t="s">
        <v>13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</row>
    <row r="34" spans="1:13" ht="30" hidden="1" x14ac:dyDescent="0.3">
      <c r="A34" s="40" t="s">
        <v>13</v>
      </c>
      <c r="B34" s="19">
        <f>B4+B23+B29</f>
        <v>696000</v>
      </c>
      <c r="C34" s="20">
        <f>C4</f>
        <v>696000</v>
      </c>
      <c r="D34" s="19">
        <f>D4+D23+D29</f>
        <v>720000</v>
      </c>
      <c r="E34" s="20">
        <f>E4</f>
        <v>720000</v>
      </c>
      <c r="F34" s="19">
        <f>F4+F23+F29</f>
        <v>1680000</v>
      </c>
      <c r="G34" s="20">
        <f>G4</f>
        <v>1680000</v>
      </c>
      <c r="H34" s="19">
        <f>H4+H23+H29</f>
        <v>3600000</v>
      </c>
      <c r="I34" s="20">
        <f>I4</f>
        <v>3600000</v>
      </c>
      <c r="J34" s="19">
        <f>J4+J23+J29</f>
        <v>1680000</v>
      </c>
      <c r="K34" s="20">
        <f>K4</f>
        <v>1680000</v>
      </c>
      <c r="L34" s="19">
        <f>L4+L23+L29</f>
        <v>3600000</v>
      </c>
      <c r="M34" s="20">
        <f>M4</f>
        <v>3600000</v>
      </c>
    </row>
    <row r="35" spans="1:13" ht="45" hidden="1" x14ac:dyDescent="0.3">
      <c r="A35" s="41" t="s">
        <v>21</v>
      </c>
      <c r="B35" s="27">
        <f t="shared" ref="B35:I35" si="32">B34/B4</f>
        <v>1</v>
      </c>
      <c r="C35" s="28">
        <f t="shared" si="32"/>
        <v>1</v>
      </c>
      <c r="D35" s="27">
        <f t="shared" si="32"/>
        <v>1</v>
      </c>
      <c r="E35" s="28">
        <f t="shared" si="32"/>
        <v>1</v>
      </c>
      <c r="F35" s="27">
        <f t="shared" si="32"/>
        <v>1</v>
      </c>
      <c r="G35" s="28">
        <f t="shared" si="32"/>
        <v>1</v>
      </c>
      <c r="H35" s="27">
        <f t="shared" si="32"/>
        <v>1</v>
      </c>
      <c r="I35" s="28">
        <f t="shared" si="32"/>
        <v>1</v>
      </c>
      <c r="J35" s="27">
        <f t="shared" ref="J35" si="33">J34/J4</f>
        <v>1</v>
      </c>
      <c r="K35" s="28">
        <f t="shared" ref="K35" si="34">K34/K4</f>
        <v>1</v>
      </c>
      <c r="L35" s="27">
        <f t="shared" ref="L35" si="35">L34/L4</f>
        <v>1</v>
      </c>
      <c r="M35" s="28">
        <f t="shared" ref="M35" si="36">M34/M4</f>
        <v>1</v>
      </c>
    </row>
    <row r="36" spans="1:13" x14ac:dyDescent="0.3">
      <c r="A36" s="36" t="s">
        <v>18</v>
      </c>
      <c r="B36" s="11"/>
      <c r="C36" s="12"/>
      <c r="D36" s="11"/>
      <c r="E36" s="12"/>
      <c r="F36" s="11"/>
      <c r="G36" s="12"/>
      <c r="H36" s="11"/>
      <c r="I36" s="12"/>
      <c r="J36" s="11"/>
      <c r="K36" s="12"/>
      <c r="L36" s="11"/>
      <c r="M36" s="12"/>
    </row>
    <row r="37" spans="1:13" x14ac:dyDescent="0.3">
      <c r="A37" s="40" t="s">
        <v>18</v>
      </c>
      <c r="B37" s="33">
        <f>B15+B22+B28</f>
        <v>92754</v>
      </c>
      <c r="C37" s="32">
        <f t="shared" ref="C37:I37" si="37">C15+C22+C28</f>
        <v>84230</v>
      </c>
      <c r="D37" s="33">
        <f t="shared" si="37"/>
        <v>56704</v>
      </c>
      <c r="E37" s="32">
        <f t="shared" si="37"/>
        <v>37187</v>
      </c>
      <c r="F37" s="33">
        <f t="shared" si="37"/>
        <v>185720</v>
      </c>
      <c r="G37" s="32">
        <f t="shared" si="37"/>
        <v>116468</v>
      </c>
      <c r="H37" s="33">
        <f t="shared" si="37"/>
        <v>904451.04</v>
      </c>
      <c r="I37" s="32">
        <f t="shared" si="37"/>
        <v>781752</v>
      </c>
      <c r="J37" s="33">
        <f t="shared" ref="J37:M37" si="38">J15+J22+J28</f>
        <v>312761</v>
      </c>
      <c r="K37" s="32">
        <f t="shared" si="38"/>
        <v>238604</v>
      </c>
      <c r="L37" s="33">
        <f t="shared" si="38"/>
        <v>1087691.04</v>
      </c>
      <c r="M37" s="32">
        <f t="shared" si="38"/>
        <v>959152</v>
      </c>
    </row>
    <row r="38" spans="1:13" ht="30.75" thickBot="1" x14ac:dyDescent="0.35">
      <c r="A38" s="42" t="s">
        <v>23</v>
      </c>
      <c r="B38" s="29">
        <f>B37/B4</f>
        <v>0.13326724137931034</v>
      </c>
      <c r="C38" s="30">
        <f t="shared" ref="C38:I38" si="39">C37/C4</f>
        <v>0.12102011494252873</v>
      </c>
      <c r="D38" s="29">
        <f t="shared" si="39"/>
        <v>7.8755555555555551E-2</v>
      </c>
      <c r="E38" s="30">
        <f t="shared" si="39"/>
        <v>5.164861111111111E-2</v>
      </c>
      <c r="F38" s="29">
        <f t="shared" si="39"/>
        <v>0.11054761904761905</v>
      </c>
      <c r="G38" s="30">
        <f t="shared" si="39"/>
        <v>6.9326190476190472E-2</v>
      </c>
      <c r="H38" s="29">
        <f t="shared" si="39"/>
        <v>0.25123640000000003</v>
      </c>
      <c r="I38" s="30">
        <f t="shared" si="39"/>
        <v>0.21715333333333334</v>
      </c>
      <c r="J38" s="29">
        <f t="shared" ref="J38" si="40">J37/J4</f>
        <v>0.1861672619047619</v>
      </c>
      <c r="K38" s="30">
        <f t="shared" ref="K38" si="41">K37/K4</f>
        <v>0.14202619047619047</v>
      </c>
      <c r="L38" s="29">
        <f t="shared" ref="L38" si="42">L37/L4</f>
        <v>0.30213640000000003</v>
      </c>
      <c r="M38" s="30">
        <f t="shared" ref="M38" si="43">M37/M4</f>
        <v>0.26643111111111112</v>
      </c>
    </row>
    <row r="39" spans="1:13" ht="15.75" thickBot="1" x14ac:dyDescent="0.35">
      <c r="A39" s="64" t="s">
        <v>49</v>
      </c>
      <c r="B39" s="75">
        <f>B38-C38</f>
        <v>1.2247126436781608E-2</v>
      </c>
      <c r="C39" s="75"/>
      <c r="D39" s="75">
        <f>D38-E38</f>
        <v>2.710694444444444E-2</v>
      </c>
      <c r="E39" s="75"/>
      <c r="F39" s="79">
        <f>F38-G38</f>
        <v>4.1221428571428576E-2</v>
      </c>
      <c r="G39" s="80"/>
      <c r="H39" s="75">
        <f>H38-I38</f>
        <v>3.4083066666666689E-2</v>
      </c>
      <c r="I39" s="75"/>
      <c r="J39" s="79">
        <f>J38-K38</f>
        <v>4.4141071428571432E-2</v>
      </c>
      <c r="K39" s="80"/>
      <c r="L39" s="75">
        <f>L38-M38</f>
        <v>3.5705288888888909E-2</v>
      </c>
      <c r="M39" s="75"/>
    </row>
    <row r="40" spans="1:13" ht="30.75" thickBot="1" x14ac:dyDescent="0.35">
      <c r="A40" s="64" t="s">
        <v>50</v>
      </c>
      <c r="B40" s="77">
        <f>B37-C37</f>
        <v>8524</v>
      </c>
      <c r="C40" s="78"/>
      <c r="D40" s="77">
        <f>D37-E37</f>
        <v>19517</v>
      </c>
      <c r="E40" s="78"/>
      <c r="F40" s="77">
        <f>F37-G37</f>
        <v>69252</v>
      </c>
      <c r="G40" s="78"/>
      <c r="H40" s="77">
        <f>H37-I37</f>
        <v>122699.04000000004</v>
      </c>
      <c r="I40" s="78"/>
      <c r="J40" s="77">
        <f>J37-K37</f>
        <v>74157</v>
      </c>
      <c r="K40" s="78"/>
      <c r="L40" s="77">
        <f>L37-M37</f>
        <v>128539.04000000004</v>
      </c>
      <c r="M40" s="78"/>
    </row>
    <row r="41" spans="1:13" x14ac:dyDescent="0.3">
      <c r="B41" s="2"/>
      <c r="D41" s="2"/>
      <c r="F41" s="2"/>
      <c r="H41" s="2"/>
    </row>
    <row r="42" spans="1:13" x14ac:dyDescent="0.3">
      <c r="A42" s="4" t="s">
        <v>24</v>
      </c>
      <c r="B42" s="4" t="s">
        <v>31</v>
      </c>
    </row>
    <row r="43" spans="1:13" x14ac:dyDescent="0.3">
      <c r="A43" s="3">
        <f>zaměstnanec!A44</f>
        <v>1582812</v>
      </c>
      <c r="B43" s="3">
        <f>48*40324</f>
        <v>1935552</v>
      </c>
    </row>
    <row r="45" spans="1:13" x14ac:dyDescent="0.3">
      <c r="B45" s="54">
        <v>2024</v>
      </c>
      <c r="C45" s="54">
        <v>2023</v>
      </c>
      <c r="D45" s="54">
        <v>2024</v>
      </c>
      <c r="E45" s="54">
        <v>2023</v>
      </c>
      <c r="F45" s="54">
        <v>2024</v>
      </c>
      <c r="G45" s="54">
        <v>2023</v>
      </c>
      <c r="H45" s="54">
        <v>2024</v>
      </c>
      <c r="I45" s="54">
        <v>2023</v>
      </c>
    </row>
    <row r="46" spans="1:13" ht="30" x14ac:dyDescent="0.3">
      <c r="A46" s="53"/>
      <c r="B46" s="61" t="s">
        <v>46</v>
      </c>
      <c r="C46" s="55"/>
      <c r="D46" s="61" t="s">
        <v>47</v>
      </c>
      <c r="E46" s="55" t="s">
        <v>48</v>
      </c>
      <c r="F46" s="61" t="s">
        <v>47</v>
      </c>
      <c r="G46" s="55" t="s">
        <v>48</v>
      </c>
      <c r="H46" s="61" t="s">
        <v>47</v>
      </c>
      <c r="I46" s="55" t="s">
        <v>48</v>
      </c>
    </row>
    <row r="47" spans="1:13" x14ac:dyDescent="0.3">
      <c r="A47" s="70"/>
      <c r="B47" s="47"/>
      <c r="C47" s="48"/>
      <c r="E47" s="55" t="s">
        <v>39</v>
      </c>
      <c r="G47" s="55" t="s">
        <v>39</v>
      </c>
      <c r="I47" s="55" t="s">
        <v>39</v>
      </c>
    </row>
    <row r="48" spans="1:13" x14ac:dyDescent="0.3">
      <c r="A48" s="70"/>
      <c r="B48" s="67"/>
      <c r="E48" s="55" t="s">
        <v>41</v>
      </c>
      <c r="G48" s="55" t="s">
        <v>41</v>
      </c>
      <c r="I48" s="55" t="s">
        <v>41</v>
      </c>
    </row>
    <row r="49" spans="1:9" x14ac:dyDescent="0.3">
      <c r="A49" s="69"/>
      <c r="B49" s="1">
        <f>20162*2</f>
        <v>40324</v>
      </c>
      <c r="C49" s="69"/>
      <c r="D49" s="69"/>
    </row>
    <row r="50" spans="1:9" x14ac:dyDescent="0.3">
      <c r="A50" s="70"/>
      <c r="B50" s="1">
        <f>B49/2</f>
        <v>20162</v>
      </c>
      <c r="C50" s="68"/>
    </row>
    <row r="51" spans="1:9" x14ac:dyDescent="0.3">
      <c r="A51" s="66"/>
      <c r="B51" s="1">
        <f>B50/2</f>
        <v>10081</v>
      </c>
      <c r="C51" s="69"/>
      <c r="D51" s="70"/>
      <c r="E51" s="71"/>
    </row>
    <row r="53" spans="1:9" x14ac:dyDescent="0.3">
      <c r="A53" s="58" t="s">
        <v>51</v>
      </c>
      <c r="B53" s="74" t="s">
        <v>59</v>
      </c>
      <c r="C53" s="74"/>
      <c r="D53" s="74"/>
      <c r="E53" s="74"/>
      <c r="F53" s="74"/>
      <c r="G53" s="74"/>
      <c r="H53" s="74"/>
      <c r="I53" s="74"/>
    </row>
    <row r="54" spans="1:9" x14ac:dyDescent="0.3">
      <c r="A54" s="58"/>
      <c r="B54" s="65" t="s">
        <v>61</v>
      </c>
      <c r="C54" s="65"/>
      <c r="D54" s="65"/>
      <c r="E54" s="65"/>
      <c r="F54" s="65"/>
      <c r="G54" s="65"/>
      <c r="H54" s="65"/>
      <c r="I54" s="65"/>
    </row>
    <row r="55" spans="1:9" x14ac:dyDescent="0.3">
      <c r="B55" s="74" t="s">
        <v>54</v>
      </c>
      <c r="C55" s="74"/>
      <c r="D55" s="74"/>
      <c r="E55" s="74"/>
      <c r="F55" s="74"/>
      <c r="G55" s="74"/>
      <c r="H55" s="74"/>
      <c r="I55" s="74"/>
    </row>
    <row r="56" spans="1:9" x14ac:dyDescent="0.3">
      <c r="B56" s="74" t="s">
        <v>55</v>
      </c>
      <c r="C56" s="74"/>
      <c r="D56" s="74"/>
      <c r="E56" s="74"/>
      <c r="F56" s="74"/>
      <c r="G56" s="74"/>
      <c r="H56" s="74"/>
      <c r="I56" s="74"/>
    </row>
    <row r="57" spans="1:9" x14ac:dyDescent="0.3">
      <c r="B57" s="74" t="s">
        <v>60</v>
      </c>
      <c r="C57" s="74"/>
      <c r="D57" s="74"/>
      <c r="E57" s="74"/>
      <c r="F57" s="74"/>
      <c r="G57" s="74"/>
      <c r="H57" s="74"/>
      <c r="I57" s="74"/>
    </row>
    <row r="60" spans="1:9" x14ac:dyDescent="0.3">
      <c r="B60" s="46"/>
      <c r="C60" s="46"/>
      <c r="D60" s="46"/>
    </row>
    <row r="61" spans="1:9" x14ac:dyDescent="0.3">
      <c r="B61" s="46"/>
    </row>
  </sheetData>
  <mergeCells count="16">
    <mergeCell ref="B56:I56"/>
    <mergeCell ref="B57:I57"/>
    <mergeCell ref="J39:K39"/>
    <mergeCell ref="B39:C39"/>
    <mergeCell ref="D39:E39"/>
    <mergeCell ref="F39:G39"/>
    <mergeCell ref="H39:I39"/>
    <mergeCell ref="B40:C40"/>
    <mergeCell ref="D40:E40"/>
    <mergeCell ref="F40:G40"/>
    <mergeCell ref="H40:I40"/>
    <mergeCell ref="L39:M39"/>
    <mergeCell ref="J40:K40"/>
    <mergeCell ref="L40:M40"/>
    <mergeCell ref="B53:I53"/>
    <mergeCell ref="B55:I5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695FF25A31044A9F9E2E2E14FB0067" ma:contentTypeVersion="4" ma:contentTypeDescription="Create a new document." ma:contentTypeScope="" ma:versionID="36568a6fa97b7bdf8c5621a093da40bb">
  <xsd:schema xmlns:xsd="http://www.w3.org/2001/XMLSchema" xmlns:xs="http://www.w3.org/2001/XMLSchema" xmlns:p="http://schemas.microsoft.com/office/2006/metadata/properties" xmlns:ns2="79de27b1-64fa-4998-b40c-b0dad8dfb93f" xmlns:ns3="79b4507f-a919-4439-a370-833d533e6c51" targetNamespace="http://schemas.microsoft.com/office/2006/metadata/properties" ma:root="true" ma:fieldsID="44dd3fcfd4c951e837950dbb303f1163" ns2:_="" ns3:_="">
    <xsd:import namespace="79de27b1-64fa-4998-b40c-b0dad8dfb93f"/>
    <xsd:import namespace="79b4507f-a919-4439-a370-833d533e6c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e27b1-64fa-4998-b40c-b0dad8dfb9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b4507f-a919-4439-a370-833d533e6c5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0C924E-D1CB-44E4-B61B-F02C5D1F02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194EDA-829D-48F1-8BF3-23CF03FF2998}">
  <ds:schemaRefs>
    <ds:schemaRef ds:uri="http://schemas.microsoft.com/sharepoint/v3/field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06f6f195-68e0-445b-a55d-3739b0d2ce49"/>
    <ds:schemaRef ds:uri="http://schemas.microsoft.com/office/2006/documentManagement/types"/>
    <ds:schemaRef ds:uri="http://schemas.openxmlformats.org/package/2006/metadata/core-properties"/>
    <ds:schemaRef ds:uri="ca7d4b41-2d2b-433b-b291-d8c112f20227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5B4D37C-A4D3-426F-8170-9468325C88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de27b1-64fa-4998-b40c-b0dad8dfb93f"/>
    <ds:schemaRef ds:uri="79b4507f-a919-4439-a370-833d533e6c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zaměstnanec</vt:lpstr>
      <vt:lpstr>OSVČ</vt:lpstr>
    </vt:vector>
  </TitlesOfParts>
  <Company>BDO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template_new colour palette embedded</dc:title>
  <dc:creator>Monika Lodrová</dc:creator>
  <cp:lastModifiedBy>Jan Kuliš</cp:lastModifiedBy>
  <dcterms:created xsi:type="dcterms:W3CDTF">2013-01-17T11:37:46Z</dcterms:created>
  <dcterms:modified xsi:type="dcterms:W3CDTF">2023-10-13T10:18:55Z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0x010100D2695FF25A31044A9F9E2E2E14FB0067</vt:lpwstr>
  </property>
  <property fmtid="{D5CDD505-2E9C-101B-9397-08002B2CF9AE}" pid="3" name="_dlc_DocIdItemGuid">
    <vt:lpwstr>3f773efa-4382-4037-ba2c-66b8090d81c1</vt:lpwstr>
  </property>
  <property fmtid="{D5CDD505-2E9C-101B-9397-08002B2CF9AE}" pid="4" name="IndustrySectors">
    <vt:lpwstr/>
  </property>
  <property fmtid="{D5CDD505-2E9C-101B-9397-08002B2CF9AE}" pid="5" name="Countries">
    <vt:lpwstr/>
  </property>
  <property fmtid="{D5CDD505-2E9C-101B-9397-08002B2CF9AE}" pid="6" name="Topic">
    <vt:lpwstr/>
  </property>
  <property fmtid="{D5CDD505-2E9C-101B-9397-08002B2CF9AE}" pid="7" name="BusinessLine">
    <vt:lpwstr>168;#Marketing|4f81377f-71b1-426f-b674-f285b691e6bf</vt:lpwstr>
  </property>
  <property fmtid="{D5CDD505-2E9C-101B-9397-08002B2CF9AE}" pid="8" name="DocumentTypes">
    <vt:lpwstr/>
  </property>
</Properties>
</file>